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genharia e Arquitetura\Arquivos compartilhados\05- PROJETOS OBRAS 1\ACESSIBILIDADE\CALÇADA ACESSIVEL_DEMANDA_33946\LICITAÇÃO\"/>
    </mc:Choice>
  </mc:AlternateContent>
  <bookViews>
    <workbookView xWindow="0" yWindow="0" windowWidth="17970" windowHeight="6195" activeTab="1"/>
  </bookViews>
  <sheets>
    <sheet name="CRONOGRAMA OBRA" sheetId="6" r:id="rId1"/>
    <sheet name="PLANILHA FINAL CONVENIO" sheetId="1" r:id="rId2"/>
  </sheets>
  <definedNames>
    <definedName name="_xlnm.Print_Area" localSheetId="0">'CRONOGRAMA OBRA'!$A$1:$M$137</definedName>
    <definedName name="_xlnm.Print_Area" localSheetId="1">'PLANILHA FINAL CONVENIO'!$A$1:$I$137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9" i="6" l="1"/>
  <c r="L129" i="6"/>
  <c r="K129" i="6"/>
  <c r="J129" i="6"/>
  <c r="J125" i="6"/>
  <c r="M119" i="6"/>
  <c r="M117" i="6"/>
  <c r="M110" i="6"/>
  <c r="L110" i="6"/>
  <c r="K110" i="6"/>
  <c r="L95" i="6"/>
  <c r="L80" i="6"/>
  <c r="K65" i="6"/>
  <c r="K50" i="6"/>
  <c r="J35" i="6"/>
  <c r="J20" i="6"/>
  <c r="J18" i="6"/>
  <c r="H128" i="6"/>
  <c r="I128" i="6" s="1"/>
  <c r="I127" i="6"/>
  <c r="H127" i="6"/>
  <c r="I126" i="6"/>
  <c r="H126" i="6"/>
  <c r="H124" i="6"/>
  <c r="H123" i="6"/>
  <c r="F123" i="6"/>
  <c r="I123" i="6" s="1"/>
  <c r="H122" i="6"/>
  <c r="E122" i="6"/>
  <c r="F122" i="6" s="1"/>
  <c r="I122" i="6" s="1"/>
  <c r="H121" i="6"/>
  <c r="E121" i="6"/>
  <c r="F121" i="6" s="1"/>
  <c r="I121" i="6" s="1"/>
  <c r="H120" i="6"/>
  <c r="F119" i="6"/>
  <c r="F120" i="6" s="1"/>
  <c r="I120" i="6" s="1"/>
  <c r="H118" i="6"/>
  <c r="F118" i="6"/>
  <c r="I118" i="6" s="1"/>
  <c r="I117" i="6" s="1"/>
  <c r="F117" i="6"/>
  <c r="H116" i="6"/>
  <c r="F116" i="6"/>
  <c r="H115" i="6"/>
  <c r="E115" i="6"/>
  <c r="F115" i="6" s="1"/>
  <c r="I115" i="6" s="1"/>
  <c r="H114" i="6"/>
  <c r="E114" i="6"/>
  <c r="F114" i="6" s="1"/>
  <c r="I114" i="6" s="1"/>
  <c r="H113" i="6"/>
  <c r="E113" i="6"/>
  <c r="F113" i="6" s="1"/>
  <c r="I113" i="6" s="1"/>
  <c r="H112" i="6"/>
  <c r="E112" i="6"/>
  <c r="F112" i="6" s="1"/>
  <c r="H111" i="6"/>
  <c r="E111" i="6"/>
  <c r="F111" i="6" s="1"/>
  <c r="I111" i="6" s="1"/>
  <c r="F110" i="6"/>
  <c r="H109" i="6"/>
  <c r="H108" i="6"/>
  <c r="H107" i="6"/>
  <c r="F107" i="6"/>
  <c r="E107" i="6"/>
  <c r="H106" i="6"/>
  <c r="E106" i="6"/>
  <c r="F106" i="6" s="1"/>
  <c r="I106" i="6" s="1"/>
  <c r="H105" i="6"/>
  <c r="E105" i="6"/>
  <c r="F105" i="6" s="1"/>
  <c r="I105" i="6" s="1"/>
  <c r="H104" i="6"/>
  <c r="E104" i="6"/>
  <c r="F104" i="6" s="1"/>
  <c r="I104" i="6" s="1"/>
  <c r="H103" i="6"/>
  <c r="E103" i="6"/>
  <c r="F103" i="6" s="1"/>
  <c r="H102" i="6"/>
  <c r="H101" i="6"/>
  <c r="E101" i="6"/>
  <c r="F101" i="6" s="1"/>
  <c r="I101" i="6" s="1"/>
  <c r="H100" i="6"/>
  <c r="H99" i="6"/>
  <c r="E99" i="6"/>
  <c r="E108" i="6" s="1"/>
  <c r="F108" i="6" s="1"/>
  <c r="I108" i="6" s="1"/>
  <c r="I97" i="6"/>
  <c r="I96" i="6"/>
  <c r="H94" i="6"/>
  <c r="H93" i="6"/>
  <c r="H92" i="6"/>
  <c r="F92" i="6"/>
  <c r="I92" i="6" s="1"/>
  <c r="E92" i="6"/>
  <c r="E91" i="6" s="1"/>
  <c r="F91" i="6" s="1"/>
  <c r="I91" i="6" s="1"/>
  <c r="H91" i="6"/>
  <c r="H90" i="6"/>
  <c r="E90" i="6"/>
  <c r="F90" i="6" s="1"/>
  <c r="I90" i="6" s="1"/>
  <c r="H89" i="6"/>
  <c r="E89" i="6"/>
  <c r="F89" i="6" s="1"/>
  <c r="I89" i="6" s="1"/>
  <c r="H88" i="6"/>
  <c r="E88" i="6"/>
  <c r="F88" i="6" s="1"/>
  <c r="I88" i="6" s="1"/>
  <c r="H87" i="6"/>
  <c r="H86" i="6"/>
  <c r="E86" i="6"/>
  <c r="F86" i="6" s="1"/>
  <c r="I86" i="6" s="1"/>
  <c r="H85" i="6"/>
  <c r="H84" i="6"/>
  <c r="E84" i="6"/>
  <c r="F84" i="6" s="1"/>
  <c r="I84" i="6" s="1"/>
  <c r="I82" i="6"/>
  <c r="I81" i="6"/>
  <c r="H79" i="6"/>
  <c r="H78" i="6"/>
  <c r="H77" i="6"/>
  <c r="E77" i="6"/>
  <c r="F77" i="6" s="1"/>
  <c r="I77" i="6" s="1"/>
  <c r="H76" i="6"/>
  <c r="H75" i="6"/>
  <c r="E75" i="6"/>
  <c r="F75" i="6" s="1"/>
  <c r="H74" i="6"/>
  <c r="E74" i="6"/>
  <c r="F74" i="6" s="1"/>
  <c r="H73" i="6"/>
  <c r="E73" i="6"/>
  <c r="F73" i="6" s="1"/>
  <c r="I73" i="6" s="1"/>
  <c r="H72" i="6"/>
  <c r="H71" i="6"/>
  <c r="E71" i="6"/>
  <c r="F71" i="6" s="1"/>
  <c r="I71" i="6" s="1"/>
  <c r="H70" i="6"/>
  <c r="H69" i="6"/>
  <c r="E69" i="6"/>
  <c r="F69" i="6" s="1"/>
  <c r="I67" i="6"/>
  <c r="I66" i="6"/>
  <c r="H64" i="6"/>
  <c r="H63" i="6"/>
  <c r="H62" i="6"/>
  <c r="F62" i="6"/>
  <c r="I62" i="6" s="1"/>
  <c r="E62" i="6"/>
  <c r="H61" i="6"/>
  <c r="E61" i="6"/>
  <c r="F61" i="6" s="1"/>
  <c r="H60" i="6"/>
  <c r="F60" i="6"/>
  <c r="I60" i="6" s="1"/>
  <c r="E60" i="6"/>
  <c r="H59" i="6"/>
  <c r="E59" i="6"/>
  <c r="F59" i="6" s="1"/>
  <c r="H58" i="6"/>
  <c r="E58" i="6"/>
  <c r="F58" i="6" s="1"/>
  <c r="I58" i="6" s="1"/>
  <c r="H57" i="6"/>
  <c r="H56" i="6"/>
  <c r="E56" i="6"/>
  <c r="F56" i="6" s="1"/>
  <c r="I56" i="6" s="1"/>
  <c r="H55" i="6"/>
  <c r="H54" i="6"/>
  <c r="E54" i="6"/>
  <c r="E64" i="6" s="1"/>
  <c r="F64" i="6" s="1"/>
  <c r="I64" i="6" s="1"/>
  <c r="I52" i="6"/>
  <c r="I51" i="6"/>
  <c r="H49" i="6"/>
  <c r="H48" i="6"/>
  <c r="H47" i="6"/>
  <c r="E47" i="6"/>
  <c r="E46" i="6" s="1"/>
  <c r="F46" i="6" s="1"/>
  <c r="I46" i="6" s="1"/>
  <c r="H46" i="6"/>
  <c r="H45" i="6"/>
  <c r="E45" i="6"/>
  <c r="F45" i="6" s="1"/>
  <c r="I45" i="6" s="1"/>
  <c r="H44" i="6"/>
  <c r="F44" i="6"/>
  <c r="I44" i="6" s="1"/>
  <c r="E44" i="6"/>
  <c r="H43" i="6"/>
  <c r="E43" i="6"/>
  <c r="F43" i="6" s="1"/>
  <c r="I43" i="6" s="1"/>
  <c r="H42" i="6"/>
  <c r="H41" i="6"/>
  <c r="E41" i="6"/>
  <c r="H40" i="6"/>
  <c r="H39" i="6"/>
  <c r="E39" i="6"/>
  <c r="E48" i="6" s="1"/>
  <c r="F48" i="6" s="1"/>
  <c r="I48" i="6" s="1"/>
  <c r="I37" i="6"/>
  <c r="I36" i="6"/>
  <c r="F35" i="6"/>
  <c r="H34" i="6"/>
  <c r="H33" i="6"/>
  <c r="H32" i="6"/>
  <c r="E32" i="6"/>
  <c r="E31" i="6" s="1"/>
  <c r="F31" i="6" s="1"/>
  <c r="H31" i="6"/>
  <c r="H30" i="6"/>
  <c r="E30" i="6"/>
  <c r="F30" i="6" s="1"/>
  <c r="I30" i="6" s="1"/>
  <c r="H29" i="6"/>
  <c r="E29" i="6"/>
  <c r="F29" i="6" s="1"/>
  <c r="I29" i="6" s="1"/>
  <c r="H28" i="6"/>
  <c r="E28" i="6"/>
  <c r="F28" i="6" s="1"/>
  <c r="I28" i="6" s="1"/>
  <c r="H27" i="6"/>
  <c r="H26" i="6"/>
  <c r="E26" i="6"/>
  <c r="H25" i="6"/>
  <c r="H24" i="6"/>
  <c r="E24" i="6"/>
  <c r="E33" i="6" s="1"/>
  <c r="F33" i="6" s="1"/>
  <c r="I33" i="6" s="1"/>
  <c r="I22" i="6"/>
  <c r="I21" i="6"/>
  <c r="I19" i="6"/>
  <c r="I18" i="6" s="1"/>
  <c r="H19" i="6"/>
  <c r="I125" i="6" l="1"/>
  <c r="I112" i="6"/>
  <c r="I116" i="6"/>
  <c r="I107" i="6"/>
  <c r="E100" i="6"/>
  <c r="E102" i="6" s="1"/>
  <c r="F102" i="6" s="1"/>
  <c r="I102" i="6" s="1"/>
  <c r="I103" i="6"/>
  <c r="I75" i="6"/>
  <c r="I69" i="6"/>
  <c r="I74" i="6"/>
  <c r="I59" i="6"/>
  <c r="I61" i="6"/>
  <c r="F54" i="6"/>
  <c r="I54" i="6" s="1"/>
  <c r="I31" i="6"/>
  <c r="I110" i="6"/>
  <c r="F24" i="6"/>
  <c r="I24" i="6" s="1"/>
  <c r="F41" i="6"/>
  <c r="I41" i="6" s="1"/>
  <c r="E85" i="6"/>
  <c r="F85" i="6" s="1"/>
  <c r="I85" i="6" s="1"/>
  <c r="E93" i="6"/>
  <c r="F93" i="6" s="1"/>
  <c r="I93" i="6" s="1"/>
  <c r="F26" i="6"/>
  <c r="I26" i="6" s="1"/>
  <c r="E76" i="6"/>
  <c r="F76" i="6" s="1"/>
  <c r="I76" i="6" s="1"/>
  <c r="E78" i="6"/>
  <c r="F78" i="6" s="1"/>
  <c r="I78" i="6" s="1"/>
  <c r="F32" i="6"/>
  <c r="I32" i="6" s="1"/>
  <c r="F39" i="6"/>
  <c r="I39" i="6" s="1"/>
  <c r="F47" i="6"/>
  <c r="I47" i="6" s="1"/>
  <c r="E70" i="6"/>
  <c r="F70" i="6" s="1"/>
  <c r="I70" i="6" s="1"/>
  <c r="E55" i="6"/>
  <c r="F55" i="6" s="1"/>
  <c r="I55" i="6" s="1"/>
  <c r="E63" i="6"/>
  <c r="F63" i="6" s="1"/>
  <c r="I63" i="6" s="1"/>
  <c r="E34" i="6"/>
  <c r="F34" i="6" s="1"/>
  <c r="I34" i="6" s="1"/>
  <c r="E49" i="6"/>
  <c r="F49" i="6" s="1"/>
  <c r="I49" i="6" s="1"/>
  <c r="E25" i="6"/>
  <c r="F25" i="6" s="1"/>
  <c r="I25" i="6" s="1"/>
  <c r="E40" i="6"/>
  <c r="F40" i="6" s="1"/>
  <c r="I40" i="6" s="1"/>
  <c r="E109" i="6"/>
  <c r="F109" i="6" s="1"/>
  <c r="I109" i="6" s="1"/>
  <c r="E94" i="6"/>
  <c r="F94" i="6" s="1"/>
  <c r="I94" i="6" s="1"/>
  <c r="F99" i="6"/>
  <c r="I99" i="6" s="1"/>
  <c r="F124" i="6"/>
  <c r="I124" i="6" s="1"/>
  <c r="I119" i="6" s="1"/>
  <c r="E79" i="6"/>
  <c r="F79" i="6" s="1"/>
  <c r="I79" i="6" s="1"/>
  <c r="E122" i="1"/>
  <c r="F120" i="1"/>
  <c r="H120" i="1"/>
  <c r="E121" i="1"/>
  <c r="H121" i="1"/>
  <c r="F100" i="6" l="1"/>
  <c r="I100" i="6" s="1"/>
  <c r="I95" i="6" s="1"/>
  <c r="E87" i="6"/>
  <c r="F87" i="6" s="1"/>
  <c r="I87" i="6" s="1"/>
  <c r="I80" i="6" s="1"/>
  <c r="E72" i="6"/>
  <c r="F72" i="6" s="1"/>
  <c r="I72" i="6" s="1"/>
  <c r="I65" i="6" s="1"/>
  <c r="E57" i="6"/>
  <c r="F57" i="6" s="1"/>
  <c r="I57" i="6" s="1"/>
  <c r="I50" i="6" s="1"/>
  <c r="E42" i="6"/>
  <c r="F42" i="6" s="1"/>
  <c r="I42" i="6" s="1"/>
  <c r="I35" i="6" s="1"/>
  <c r="E27" i="6"/>
  <c r="F27" i="6" s="1"/>
  <c r="I27" i="6" s="1"/>
  <c r="I20" i="6" s="1"/>
  <c r="I120" i="1"/>
  <c r="E101" i="1"/>
  <c r="E86" i="1"/>
  <c r="E71" i="1"/>
  <c r="E56" i="1"/>
  <c r="E41" i="1"/>
  <c r="E26" i="1"/>
  <c r="I129" i="6" l="1"/>
  <c r="E92" i="1"/>
  <c r="E32" i="1"/>
  <c r="H128" i="1" l="1"/>
  <c r="I128" i="1" s="1"/>
  <c r="H127" i="1"/>
  <c r="I127" i="1" s="1"/>
  <c r="H126" i="1"/>
  <c r="I126" i="1" s="1"/>
  <c r="I125" i="1" l="1"/>
  <c r="H124" i="1" l="1"/>
  <c r="H123" i="1"/>
  <c r="H122" i="1"/>
  <c r="H118" i="1"/>
  <c r="H116" i="1"/>
  <c r="H115" i="1"/>
  <c r="H114" i="1"/>
  <c r="H113" i="1"/>
  <c r="H112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4" i="1"/>
  <c r="H93" i="1"/>
  <c r="H92" i="1"/>
  <c r="H91" i="1"/>
  <c r="H90" i="1"/>
  <c r="H89" i="1"/>
  <c r="H88" i="1"/>
  <c r="H87" i="1"/>
  <c r="H86" i="1"/>
  <c r="H85" i="1"/>
  <c r="H84" i="1"/>
  <c r="H79" i="1"/>
  <c r="H78" i="1"/>
  <c r="H77" i="1"/>
  <c r="H76" i="1"/>
  <c r="H75" i="1"/>
  <c r="H74" i="1"/>
  <c r="H73" i="1"/>
  <c r="H72" i="1"/>
  <c r="H71" i="1"/>
  <c r="H70" i="1"/>
  <c r="H69" i="1"/>
  <c r="H64" i="1"/>
  <c r="H63" i="1"/>
  <c r="H62" i="1"/>
  <c r="H61" i="1"/>
  <c r="H60" i="1"/>
  <c r="H59" i="1"/>
  <c r="H58" i="1"/>
  <c r="H57" i="1"/>
  <c r="H56" i="1"/>
  <c r="H55" i="1"/>
  <c r="H54" i="1"/>
  <c r="H49" i="1"/>
  <c r="H48" i="1"/>
  <c r="H47" i="1"/>
  <c r="H46" i="1"/>
  <c r="H45" i="1"/>
  <c r="H44" i="1"/>
  <c r="H43" i="1"/>
  <c r="H42" i="1"/>
  <c r="H41" i="1"/>
  <c r="H40" i="1"/>
  <c r="H39" i="1"/>
  <c r="H34" i="1"/>
  <c r="H33" i="1"/>
  <c r="H32" i="1"/>
  <c r="H31" i="1"/>
  <c r="H30" i="1"/>
  <c r="H29" i="1"/>
  <c r="H28" i="1"/>
  <c r="H27" i="1"/>
  <c r="H26" i="1"/>
  <c r="H25" i="1"/>
  <c r="H24" i="1"/>
  <c r="F110" i="1"/>
  <c r="H19" i="1"/>
  <c r="I19" i="1" s="1"/>
  <c r="I18" i="1" l="1"/>
  <c r="F92" i="1" l="1"/>
  <c r="I92" i="1" s="1"/>
  <c r="E90" i="1"/>
  <c r="F90" i="1" s="1"/>
  <c r="I90" i="1" s="1"/>
  <c r="E89" i="1"/>
  <c r="F89" i="1" s="1"/>
  <c r="I89" i="1" s="1"/>
  <c r="E88" i="1"/>
  <c r="F88" i="1" s="1"/>
  <c r="I88" i="1" s="1"/>
  <c r="E84" i="1"/>
  <c r="E93" i="1" s="1"/>
  <c r="F93" i="1" s="1"/>
  <c r="I93" i="1" s="1"/>
  <c r="I82" i="1"/>
  <c r="I81" i="1"/>
  <c r="E91" i="1" l="1"/>
  <c r="F91" i="1" s="1"/>
  <c r="I91" i="1" s="1"/>
  <c r="E94" i="1"/>
  <c r="F94" i="1" s="1"/>
  <c r="I94" i="1" s="1"/>
  <c r="F86" i="1"/>
  <c r="I86" i="1" s="1"/>
  <c r="F84" i="1"/>
  <c r="I84" i="1" s="1"/>
  <c r="E85" i="1"/>
  <c r="F85" i="1" s="1"/>
  <c r="I85" i="1" s="1"/>
  <c r="F119" i="1"/>
  <c r="F117" i="1"/>
  <c r="F118" i="1" s="1"/>
  <c r="I118" i="1" s="1"/>
  <c r="F35" i="1"/>
  <c r="F121" i="1" l="1"/>
  <c r="I121" i="1" s="1"/>
  <c r="E87" i="1"/>
  <c r="F87" i="1" s="1"/>
  <c r="F124" i="1"/>
  <c r="I124" i="1" s="1"/>
  <c r="F123" i="1"/>
  <c r="I123" i="1" s="1"/>
  <c r="I87" i="1" l="1"/>
  <c r="I80" i="1" s="1"/>
  <c r="E77" i="1"/>
  <c r="E76" i="1" s="1"/>
  <c r="F76" i="1" s="1"/>
  <c r="I76" i="1" s="1"/>
  <c r="E62" i="1"/>
  <c r="E47" i="1"/>
  <c r="E46" i="1" s="1"/>
  <c r="F46" i="1" s="1"/>
  <c r="I46" i="1" s="1"/>
  <c r="F116" i="1"/>
  <c r="I116" i="1" s="1"/>
  <c r="E107" i="1"/>
  <c r="F107" i="1" s="1"/>
  <c r="I107" i="1" s="1"/>
  <c r="E105" i="1"/>
  <c r="F105" i="1" s="1"/>
  <c r="I105" i="1" s="1"/>
  <c r="E104" i="1"/>
  <c r="F104" i="1" s="1"/>
  <c r="I104" i="1" s="1"/>
  <c r="E103" i="1"/>
  <c r="F103" i="1" s="1"/>
  <c r="I103" i="1" s="1"/>
  <c r="F101" i="1"/>
  <c r="I101" i="1" s="1"/>
  <c r="E99" i="1"/>
  <c r="E109" i="1" s="1"/>
  <c r="F109" i="1" s="1"/>
  <c r="I109" i="1" s="1"/>
  <c r="I97" i="1"/>
  <c r="I96" i="1"/>
  <c r="E75" i="1"/>
  <c r="F75" i="1" s="1"/>
  <c r="I75" i="1" s="1"/>
  <c r="E74" i="1"/>
  <c r="F74" i="1" s="1"/>
  <c r="I74" i="1" s="1"/>
  <c r="E73" i="1"/>
  <c r="F73" i="1" s="1"/>
  <c r="I73" i="1" s="1"/>
  <c r="F71" i="1"/>
  <c r="I71" i="1" s="1"/>
  <c r="E69" i="1"/>
  <c r="E79" i="1" s="1"/>
  <c r="F79" i="1" s="1"/>
  <c r="I79" i="1" s="1"/>
  <c r="I67" i="1"/>
  <c r="I66" i="1"/>
  <c r="E61" i="1"/>
  <c r="F61" i="1" s="1"/>
  <c r="I61" i="1" s="1"/>
  <c r="E60" i="1"/>
  <c r="F60" i="1" s="1"/>
  <c r="I60" i="1" s="1"/>
  <c r="E59" i="1"/>
  <c r="F59" i="1" s="1"/>
  <c r="I59" i="1" s="1"/>
  <c r="E58" i="1"/>
  <c r="F58" i="1" s="1"/>
  <c r="I58" i="1" s="1"/>
  <c r="E54" i="1"/>
  <c r="I52" i="1"/>
  <c r="I51" i="1"/>
  <c r="E31" i="1"/>
  <c r="F31" i="1" s="1"/>
  <c r="I31" i="1" s="1"/>
  <c r="E115" i="1"/>
  <c r="F115" i="1" s="1"/>
  <c r="I115" i="1" s="1"/>
  <c r="E114" i="1"/>
  <c r="F114" i="1" s="1"/>
  <c r="I114" i="1" s="1"/>
  <c r="E113" i="1"/>
  <c r="F113" i="1" s="1"/>
  <c r="I113" i="1" s="1"/>
  <c r="E111" i="1"/>
  <c r="E112" i="1" s="1"/>
  <c r="F112" i="1" s="1"/>
  <c r="I112" i="1" s="1"/>
  <c r="E45" i="1"/>
  <c r="F45" i="1" s="1"/>
  <c r="I45" i="1" s="1"/>
  <c r="E44" i="1"/>
  <c r="F44" i="1" s="1"/>
  <c r="I44" i="1" s="1"/>
  <c r="E43" i="1"/>
  <c r="F43" i="1" s="1"/>
  <c r="I43" i="1" s="1"/>
  <c r="F41" i="1"/>
  <c r="I41" i="1" s="1"/>
  <c r="E39" i="1"/>
  <c r="E48" i="1" s="1"/>
  <c r="F48" i="1" s="1"/>
  <c r="I48" i="1" s="1"/>
  <c r="I37" i="1"/>
  <c r="I36" i="1"/>
  <c r="E30" i="1"/>
  <c r="F30" i="1" s="1"/>
  <c r="I30" i="1" s="1"/>
  <c r="E29" i="1"/>
  <c r="F29" i="1" s="1"/>
  <c r="I29" i="1" s="1"/>
  <c r="E28" i="1"/>
  <c r="F28" i="1" s="1"/>
  <c r="I28" i="1" s="1"/>
  <c r="F26" i="1"/>
  <c r="I26" i="1" s="1"/>
  <c r="E24" i="1"/>
  <c r="I22" i="1"/>
  <c r="I21" i="1"/>
  <c r="E34" i="1" l="1"/>
  <c r="F34" i="1" s="1"/>
  <c r="I34" i="1" s="1"/>
  <c r="E25" i="1"/>
  <c r="E27" i="1" s="1"/>
  <c r="E64" i="1"/>
  <c r="E63" i="1"/>
  <c r="F63" i="1" s="1"/>
  <c r="I63" i="1" s="1"/>
  <c r="E106" i="1"/>
  <c r="F106" i="1" s="1"/>
  <c r="I106" i="1" s="1"/>
  <c r="F111" i="1"/>
  <c r="I111" i="1" s="1"/>
  <c r="F122" i="1"/>
  <c r="I117" i="1"/>
  <c r="F39" i="1"/>
  <c r="I39" i="1" s="1"/>
  <c r="F47" i="1"/>
  <c r="I47" i="1" s="1"/>
  <c r="F64" i="1"/>
  <c r="I64" i="1" s="1"/>
  <c r="F24" i="1"/>
  <c r="I24" i="1" s="1"/>
  <c r="F32" i="1"/>
  <c r="I32" i="1" s="1"/>
  <c r="F99" i="1"/>
  <c r="I99" i="1" s="1"/>
  <c r="E100" i="1"/>
  <c r="E108" i="1"/>
  <c r="F108" i="1" s="1"/>
  <c r="I108" i="1" s="1"/>
  <c r="F69" i="1"/>
  <c r="I69" i="1" s="1"/>
  <c r="F77" i="1"/>
  <c r="I77" i="1" s="1"/>
  <c r="E70" i="1"/>
  <c r="F70" i="1" s="1"/>
  <c r="I70" i="1" s="1"/>
  <c r="E78" i="1"/>
  <c r="F78" i="1" s="1"/>
  <c r="I78" i="1" s="1"/>
  <c r="F56" i="1"/>
  <c r="I56" i="1" s="1"/>
  <c r="F54" i="1"/>
  <c r="I54" i="1" s="1"/>
  <c r="F62" i="1"/>
  <c r="I62" i="1" s="1"/>
  <c r="E55" i="1"/>
  <c r="F55" i="1" s="1"/>
  <c r="I55" i="1" s="1"/>
  <c r="E33" i="1"/>
  <c r="F33" i="1" s="1"/>
  <c r="I33" i="1" s="1"/>
  <c r="E49" i="1"/>
  <c r="F49" i="1" s="1"/>
  <c r="I49" i="1" s="1"/>
  <c r="E40" i="1"/>
  <c r="F40" i="1" s="1"/>
  <c r="I40" i="1" s="1"/>
  <c r="I122" i="1" l="1"/>
  <c r="I119" i="1" s="1"/>
  <c r="E72" i="1"/>
  <c r="F72" i="1" s="1"/>
  <c r="F27" i="1"/>
  <c r="I27" i="1" s="1"/>
  <c r="F25" i="1"/>
  <c r="I25" i="1" s="1"/>
  <c r="E102" i="1"/>
  <c r="F102" i="1" s="1"/>
  <c r="I102" i="1" s="1"/>
  <c r="F100" i="1"/>
  <c r="I100" i="1" s="1"/>
  <c r="E57" i="1"/>
  <c r="F57" i="1" s="1"/>
  <c r="E42" i="1"/>
  <c r="F42" i="1" s="1"/>
  <c r="I42" i="1" s="1"/>
  <c r="I57" i="1" l="1"/>
  <c r="I50" i="1" s="1"/>
  <c r="I72" i="1"/>
  <c r="I65" i="1" s="1"/>
  <c r="I95" i="1"/>
  <c r="I20" i="1" l="1"/>
  <c r="I35" i="1" l="1"/>
  <c r="I110" i="1" l="1"/>
  <c r="I129" i="1" s="1"/>
</calcChain>
</file>

<file path=xl/sharedStrings.xml><?xml version="1.0" encoding="utf-8"?>
<sst xmlns="http://schemas.openxmlformats.org/spreadsheetml/2006/main" count="825" uniqueCount="165">
  <si>
    <t>DISCRIMINAÇÃO</t>
  </si>
  <si>
    <t xml:space="preserve"> </t>
  </si>
  <si>
    <t>1.0</t>
  </si>
  <si>
    <t xml:space="preserve">UN </t>
  </si>
  <si>
    <t>área</t>
  </si>
  <si>
    <t>m2</t>
  </si>
  <si>
    <t>m</t>
  </si>
  <si>
    <t>RAMPA</t>
  </si>
  <si>
    <t>04.40.030</t>
  </si>
  <si>
    <t>Retirada manual de guia pré-moldada, inclusive limpeza e empilhamento</t>
  </si>
  <si>
    <t>M</t>
  </si>
  <si>
    <t>03.01.020</t>
  </si>
  <si>
    <t>Demolição manual de concreto simples</t>
  </si>
  <si>
    <t>M3</t>
  </si>
  <si>
    <t>06.02.020</t>
  </si>
  <si>
    <t>Escavação manual em solo de 1ª e 2ª categoria em vala ou cava até 1,5 m</t>
  </si>
  <si>
    <t>05.07.040</t>
  </si>
  <si>
    <t>Remoção de entulho separado de obra com caçamba metálica - terra, alvenaria, concreto, argamassa, madeira, papel, plástico ou metal</t>
  </si>
  <si>
    <t>11.18.040</t>
  </si>
  <si>
    <t>Lastro de pedra britada</t>
  </si>
  <si>
    <t>10.02.020</t>
  </si>
  <si>
    <t>Armadura em tela soldada de aço</t>
  </si>
  <si>
    <t>KG</t>
  </si>
  <si>
    <t>17.05.100</t>
  </si>
  <si>
    <t>Piso com requadro em concreto simples com controle de fck= 25 MPa</t>
  </si>
  <si>
    <t>17.03.020</t>
  </si>
  <si>
    <t>Cimentado desempenado</t>
  </si>
  <si>
    <t>M2</t>
  </si>
  <si>
    <t>30.04.032</t>
  </si>
  <si>
    <t>Piso em ladrilho hidráulico podotátil várias cores (30x30cm), assentado com argamassa mista</t>
  </si>
  <si>
    <t>54.06.110</t>
  </si>
  <si>
    <t>Base em concreto com fck de 25 MPa, para guias, sarjetas ou sarjetões</t>
  </si>
  <si>
    <t>54.20.100</t>
  </si>
  <si>
    <t>Reassentamento de guia pré-moldada reta e/ou curva</t>
  </si>
  <si>
    <t>2.0</t>
  </si>
  <si>
    <t>largura</t>
  </si>
  <si>
    <t>comprimento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</si>
  <si>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</si>
  <si>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</si>
  <si>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</si>
  <si>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</si>
  <si>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</si>
  <si>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</si>
  <si>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</si>
  <si>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</si>
  <si>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</si>
  <si>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</si>
  <si>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</si>
  <si>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3.0</t>
  </si>
  <si>
    <t>CALÇADA</t>
  </si>
  <si>
    <t>3.1</t>
  </si>
  <si>
    <t>3.2</t>
  </si>
  <si>
    <t>3.3</t>
  </si>
  <si>
    <t>3.4</t>
  </si>
  <si>
    <t>3.5</t>
  </si>
  <si>
    <t>3.6</t>
  </si>
  <si>
    <t>4.0</t>
  </si>
  <si>
    <t>PISO PODOTÁTIL 30x30cm SOBRE CONCRETO NOVO</t>
  </si>
  <si>
    <t>4.1</t>
  </si>
  <si>
    <t>5.0</t>
  </si>
  <si>
    <t>5.1</t>
  </si>
  <si>
    <t>5.2</t>
  </si>
  <si>
    <t>5.3</t>
  </si>
  <si>
    <t>17.01.060</t>
  </si>
  <si>
    <t>Regularização de piso com nata de cimento e bianco</t>
  </si>
  <si>
    <t>5.4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</si>
  <si>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</si>
  <si>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</si>
  <si>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</si>
  <si>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</si>
  <si>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</si>
  <si>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</si>
  <si>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</si>
  <si>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</si>
  <si>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</si>
  <si>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</si>
  <si>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</si>
  <si>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</si>
  <si>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01.23.070</t>
  </si>
  <si>
    <t>Demarcação de área com disco de corte diamantado</t>
  </si>
  <si>
    <t>TIPO 2 - REBAIXAMENTO DE PASSEIO 5,70X1,50 M</t>
  </si>
  <si>
    <t>TIPO 2 - REBAIXAMENTO DE PASSEIO 5,70X2,60 M</t>
  </si>
  <si>
    <t>TIPO 2 - REBAIXAMENTO DE PASSEIO 5,70X2,00 M</t>
  </si>
  <si>
    <t>TIPO 2 - REBAIXAMENTO DE PASSEIO ESQUINA</t>
  </si>
  <si>
    <t>m²</t>
  </si>
  <si>
    <t>PLANILHA ORÇAMENTÁRIA</t>
  </si>
  <si>
    <t>OBJETO:</t>
  </si>
  <si>
    <t>BDI:</t>
  </si>
  <si>
    <t>REFERÊNCIA:</t>
  </si>
  <si>
    <t>IMPLANTAÇÃO DE CALÇADAS ACESSÍVEIS</t>
  </si>
  <si>
    <t>CDHU VERSÃO 185</t>
  </si>
  <si>
    <t>TIPO 1 - RAMPA DE ACESSIBILIDADE</t>
  </si>
  <si>
    <t>TIPO 2 - REBAIXAMENTO DE PASSEIO 5,70X1,90 M</t>
  </si>
  <si>
    <t>3.7</t>
  </si>
  <si>
    <t>3.8</t>
  </si>
  <si>
    <t>3.9</t>
  </si>
  <si>
    <t>3.10</t>
  </si>
  <si>
    <t>3.11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</si>
  <si>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</si>
  <si>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</si>
  <si>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</si>
  <si>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</si>
  <si>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</si>
  <si>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</si>
  <si>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</si>
  <si>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</si>
  <si>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</si>
  <si>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</si>
  <si>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5.5</t>
  </si>
  <si>
    <t>5.6</t>
  </si>
  <si>
    <t>5.7</t>
  </si>
  <si>
    <t>5.8</t>
  </si>
  <si>
    <t>5.9</t>
  </si>
  <si>
    <t>5.10</t>
  </si>
  <si>
    <t>5.11</t>
  </si>
  <si>
    <t>7.0</t>
  </si>
  <si>
    <t>7.1</t>
  </si>
  <si>
    <t>7.2</t>
  </si>
  <si>
    <t>7.3</t>
  </si>
  <si>
    <t>7.4</t>
  </si>
  <si>
    <t>7.5</t>
  </si>
  <si>
    <t>7.6</t>
  </si>
  <si>
    <t>8.0</t>
  </si>
  <si>
    <t>8.1</t>
  </si>
  <si>
    <t>9.0</t>
  </si>
  <si>
    <t>9.1</t>
  </si>
  <si>
    <t>9.2</t>
  </si>
  <si>
    <t>9.3</t>
  </si>
  <si>
    <t>9.4</t>
  </si>
  <si>
    <t>10.0</t>
  </si>
  <si>
    <t>10.1</t>
  </si>
  <si>
    <t>10.2</t>
  </si>
  <si>
    <t>10.3</t>
  </si>
  <si>
    <t>PLACA DE OBRA</t>
  </si>
  <si>
    <t>Placa de identificação para obra</t>
  </si>
  <si>
    <t>ITEM</t>
  </si>
  <si>
    <t>CÓDIGO</t>
  </si>
  <si>
    <t>UNID.</t>
  </si>
  <si>
    <t>QUANT. UNIT.</t>
  </si>
  <si>
    <t>QUANT. TOTAL</t>
  </si>
  <si>
    <t>VALOR UNITÁRIO</t>
  </si>
  <si>
    <t>VALOR TOTAL</t>
  </si>
  <si>
    <t>02.08.020</t>
  </si>
  <si>
    <t>TOTAL</t>
  </si>
  <si>
    <t>SERVIÇOS COMPLEMENTARES</t>
  </si>
  <si>
    <t>34.13.011</t>
  </si>
  <si>
    <t>Corte, recorte e remoção de árvore inclusive as raízes - diâmetro (DAP)&gt;5cm&lt;15cm</t>
  </si>
  <si>
    <t>04.21.140</t>
  </si>
  <si>
    <t>Remoção de poste metálico</t>
  </si>
  <si>
    <t>70.04.001</t>
  </si>
  <si>
    <t>Instalação de coluna simples (PP), diâmetro de 2 1/2" e comprimento de 3,6 m - apenas mão de obra</t>
  </si>
  <si>
    <t>Tietê, 04 de abril de 2022.</t>
  </si>
  <si>
    <t>Álvaro Floriam Gebraiel Bellaz</t>
  </si>
  <si>
    <t>CREA: 507.011.280-5</t>
  </si>
  <si>
    <t>Responsável Técnico</t>
  </si>
  <si>
    <t>VALOR UNITÁRIO COM BDI 0,00%</t>
  </si>
  <si>
    <t>PISO PODOTÁTIL 30x30cm SOBRE PISO EXISTENTE</t>
  </si>
  <si>
    <t>Retirada de revestimento em pedra, granito ou mármore, em piso</t>
  </si>
  <si>
    <t>04.04.020</t>
  </si>
  <si>
    <t>9.5</t>
  </si>
  <si>
    <t>1º MÊS</t>
  </si>
  <si>
    <t>2º MÊS</t>
  </si>
  <si>
    <t>3º MÊS</t>
  </si>
  <si>
    <t>4º MÊS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</si>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</sst>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43" fontId="4" fillId="0" borderId="2" xfId="1" applyFont="1" applyFill="1" applyBorder="1" applyAlignment="1" applyProtection="1">
      <alignment horizontal="left" vertical="center" wrapText="1" indent="1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43" fontId="4" fillId="0" borderId="2" xfId="1" applyFont="1" applyFill="1" applyBorder="1" applyAlignment="1" applyProtection="1">
      <alignment horizontal="left" vertical="center" wrapText="1" indent="1"/>
    </xf>
    <xf numFmtId="43" fontId="7" fillId="0" borderId="2" xfId="1" applyFont="1" applyFill="1" applyBorder="1" applyAlignment="1" applyProtection="1">
      <alignment horizontal="left" vertical="center" wrapText="1" indent="1"/>
    </xf>
    <xf numFmtId="43" fontId="4" fillId="0" borderId="2" xfId="1" applyFont="1" applyBorder="1" applyAlignment="1" applyProtection="1">
      <alignment horizontal="left" vertical="center" wrapText="1" indent="1"/>
      <protection locked="0"/>
    </xf>
    <xf numFmtId="43" fontId="4" fillId="0" borderId="3" xfId="1" applyFont="1" applyBorder="1" applyAlignment="1" applyProtection="1">
      <alignment horizontal="left" vertical="center" wrapText="1" indent="1"/>
      <protection locked="0"/>
    </xf>
    <xf numFmtId="0" fontId="0" fillId="0" borderId="0" xfId="0" applyAlignment="1"/>
    <xf numFmtId="0" fontId="12" fillId="0" borderId="0" xfId="0" applyFont="1" applyAlignment="1"/>
    <xf numFmtId="0" fontId="12" fillId="0" borderId="0" xfId="0" applyFont="1"/>
    <xf numFmtId="43" fontId="4" fillId="0" borderId="7" xfId="1" applyFont="1" applyBorder="1" applyAlignment="1" applyProtection="1">
      <alignment horizontal="left" vertical="center" wrapText="1" indent="1"/>
      <protection locked="0"/>
    </xf>
    <xf numFmtId="0" fontId="3" fillId="0" borderId="2" xfId="0" applyNumberFormat="1" applyFont="1" applyBorder="1" applyAlignment="1" applyProtection="1">
      <protection locked="0"/>
    </xf>
    <xf numFmtId="0" fontId="0" fillId="0" borderId="2" xfId="0" applyBorder="1"/>
    <xf numFmtId="0" fontId="3" fillId="0" borderId="2" xfId="0" applyFont="1" applyBorder="1" applyAlignment="1" applyProtection="1">
      <alignment horizontal="center"/>
      <protection locked="0"/>
    </xf>
    <xf numFmtId="43" fontId="3" fillId="0" borderId="2" xfId="1" applyFont="1" applyBorder="1" applyAlignment="1" applyProtection="1">
      <alignment wrapText="1"/>
      <protection locked="0"/>
    </xf>
    <xf numFmtId="43" fontId="3" fillId="0" borderId="2" xfId="1" applyFont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alignment horizontal="left" vertical="center" indent="1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43" fontId="5" fillId="2" borderId="2" xfId="1" applyFont="1" applyFill="1" applyBorder="1" applyAlignment="1" applyProtection="1">
      <alignment horizontal="left" vertical="center" wrapText="1" indent="1"/>
    </xf>
    <xf numFmtId="43" fontId="5" fillId="2" borderId="2" xfId="1" applyFont="1" applyFill="1" applyBorder="1" applyAlignment="1" applyProtection="1">
      <alignment horizontal="left" vertical="center" wrapText="1" indent="1"/>
      <protection locked="0"/>
    </xf>
    <xf numFmtId="43" fontId="5" fillId="2" borderId="7" xfId="1" applyFont="1" applyFill="1" applyBorder="1" applyAlignment="1" applyProtection="1">
      <alignment horizontal="left" vertical="center" wrapText="1" indent="1"/>
      <protection locked="0"/>
    </xf>
    <xf numFmtId="43" fontId="5" fillId="2" borderId="3" xfId="1" applyFont="1" applyFill="1" applyBorder="1" applyAlignment="1" applyProtection="1">
      <alignment horizontal="left" vertical="center" wrapText="1" indent="1"/>
      <protection locked="0"/>
    </xf>
    <xf numFmtId="49" fontId="6" fillId="2" borderId="1" xfId="0" applyNumberFormat="1" applyFont="1" applyFill="1" applyBorder="1" applyAlignment="1" applyProtection="1">
      <alignment horizontal="left" vertical="center" indent="1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43" fontId="6" fillId="2" borderId="2" xfId="1" applyFont="1" applyFill="1" applyBorder="1" applyAlignment="1" applyProtection="1">
      <alignment horizontal="left" vertical="center" wrapText="1" indent="1"/>
    </xf>
    <xf numFmtId="43" fontId="4" fillId="2" borderId="2" xfId="1" applyFont="1" applyFill="1" applyBorder="1" applyAlignment="1" applyProtection="1">
      <alignment horizontal="left" vertical="center" wrapText="1" indent="1"/>
      <protection locked="0"/>
    </xf>
    <xf numFmtId="43" fontId="6" fillId="2" borderId="2" xfId="1" applyFont="1" applyFill="1" applyBorder="1" applyAlignment="1" applyProtection="1">
      <alignment horizontal="left" vertical="center" wrapText="1" indent="1"/>
      <protection locked="0"/>
    </xf>
    <xf numFmtId="43" fontId="6" fillId="2" borderId="7" xfId="1" applyFont="1" applyFill="1" applyBorder="1" applyAlignment="1" applyProtection="1">
      <alignment horizontal="left" vertical="center" wrapText="1" indent="1"/>
      <protection locked="0"/>
    </xf>
    <xf numFmtId="43" fontId="6" fillId="2" borderId="3" xfId="1" applyFont="1" applyFill="1" applyBorder="1" applyAlignment="1" applyProtection="1">
      <alignment horizontal="left" vertical="center" wrapText="1" indent="1"/>
      <protection locked="0"/>
    </xf>
    <xf numFmtId="49" fontId="8" fillId="2" borderId="1" xfId="0" applyNumberFormat="1" applyFont="1" applyFill="1" applyBorder="1" applyAlignment="1" applyProtection="1">
      <alignment horizontal="left" vertical="center" indent="1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3" fontId="9" fillId="2" borderId="2" xfId="1" applyFont="1" applyFill="1" applyBorder="1" applyAlignment="1" applyProtection="1">
      <alignment horizontal="left" vertical="center" wrapText="1" indent="1"/>
      <protection locked="0"/>
    </xf>
    <xf numFmtId="43" fontId="8" fillId="2" borderId="2" xfId="1" applyFont="1" applyFill="1" applyBorder="1" applyAlignment="1" applyProtection="1">
      <alignment horizontal="left" vertical="center" wrapText="1" indent="1"/>
      <protection locked="0"/>
    </xf>
    <xf numFmtId="43" fontId="8" fillId="2" borderId="7" xfId="1" applyFont="1" applyFill="1" applyBorder="1" applyAlignment="1" applyProtection="1">
      <alignment horizontal="left" vertical="center" wrapText="1" indent="1"/>
      <protection locked="0"/>
    </xf>
    <xf numFmtId="43" fontId="8" fillId="2" borderId="3" xfId="1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protection locked="0"/>
    </xf>
    <xf numFmtId="43" fontId="3" fillId="0" borderId="3" xfId="1" applyFont="1" applyBorder="1" applyAlignment="1" applyProtection="1">
      <protection locked="0"/>
    </xf>
    <xf numFmtId="49" fontId="5" fillId="2" borderId="15" xfId="0" applyNumberFormat="1" applyFont="1" applyFill="1" applyBorder="1" applyAlignment="1" applyProtection="1">
      <alignment horizontal="left" vertical="center" indent="1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 wrapText="1" indent="1"/>
      <protection locked="0"/>
    </xf>
    <xf numFmtId="43" fontId="5" fillId="2" borderId="16" xfId="1" applyFont="1" applyFill="1" applyBorder="1" applyAlignment="1" applyProtection="1">
      <alignment horizontal="left" vertical="center" wrapText="1" indent="1"/>
    </xf>
    <xf numFmtId="43" fontId="5" fillId="2" borderId="16" xfId="1" applyFont="1" applyFill="1" applyBorder="1" applyAlignment="1" applyProtection="1">
      <alignment horizontal="left" vertical="center" wrapText="1" indent="1"/>
      <protection locked="0"/>
    </xf>
    <xf numFmtId="43" fontId="5" fillId="2" borderId="17" xfId="1" applyFont="1" applyFill="1" applyBorder="1" applyAlignment="1" applyProtection="1">
      <alignment horizontal="left" vertical="center" wrapText="1" indent="1"/>
      <protection locked="0"/>
    </xf>
    <xf numFmtId="43" fontId="5" fillId="2" borderId="18" xfId="1" applyFont="1" applyFill="1" applyBorder="1" applyAlignment="1" applyProtection="1">
      <alignment horizontal="left" vertical="center" wrapText="1" indent="1"/>
      <protection locked="0"/>
    </xf>
    <xf numFmtId="43" fontId="0" fillId="0" borderId="0" xfId="0" applyNumberFormat="1"/>
    <xf numFmtId="49" fontId="4" fillId="0" borderId="21" xfId="0" applyNumberFormat="1" applyFont="1" applyBorder="1" applyAlignment="1" applyProtection="1">
      <alignment horizontal="left" vertical="center" indent="1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43" fontId="4" fillId="0" borderId="22" xfId="1" applyFont="1" applyFill="1" applyBorder="1" applyAlignment="1" applyProtection="1">
      <alignment horizontal="left" vertical="center" wrapText="1" indent="1"/>
    </xf>
    <xf numFmtId="43" fontId="7" fillId="0" borderId="22" xfId="1" applyFont="1" applyFill="1" applyBorder="1" applyAlignment="1" applyProtection="1">
      <alignment horizontal="left" vertical="center" wrapText="1" indent="1"/>
    </xf>
    <xf numFmtId="43" fontId="4" fillId="0" borderId="22" xfId="1" applyFont="1" applyBorder="1" applyAlignment="1" applyProtection="1">
      <alignment horizontal="left" vertical="center" wrapText="1" indent="1"/>
      <protection locked="0"/>
    </xf>
    <xf numFmtId="43" fontId="4" fillId="0" borderId="23" xfId="1" applyFont="1" applyBorder="1" applyAlignment="1" applyProtection="1">
      <alignment horizontal="left" vertical="center" wrapText="1" indent="1"/>
      <protection locked="0"/>
    </xf>
    <xf numFmtId="43" fontId="4" fillId="0" borderId="24" xfId="1" applyFont="1" applyBorder="1" applyAlignment="1" applyProtection="1">
      <alignment horizontal="left" vertical="center" wrapText="1" indent="1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43" fontId="11" fillId="0" borderId="13" xfId="1" applyFont="1" applyBorder="1" applyAlignment="1" applyProtection="1">
      <alignment vertical="center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 applyAlignment="1"/>
    <xf numFmtId="0" fontId="0" fillId="0" borderId="2" xfId="0" applyBorder="1" applyAlignment="1"/>
    <xf numFmtId="43" fontId="11" fillId="0" borderId="11" xfId="1" applyFont="1" applyBorder="1" applyAlignment="1" applyProtection="1">
      <alignment vertical="center"/>
      <protection locked="0"/>
    </xf>
    <xf numFmtId="43" fontId="0" fillId="0" borderId="1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43" fontId="0" fillId="0" borderId="3" xfId="0" applyNumberFormat="1" applyBorder="1" applyAlignment="1"/>
    <xf numFmtId="0" fontId="0" fillId="0" borderId="32" xfId="0" applyBorder="1"/>
    <xf numFmtId="0" fontId="0" fillId="0" borderId="0" xfId="0" applyBorder="1"/>
    <xf numFmtId="0" fontId="0" fillId="0" borderId="34" xfId="0" applyBorder="1"/>
    <xf numFmtId="43" fontId="12" fillId="0" borderId="35" xfId="0" applyNumberFormat="1" applyFont="1" applyBorder="1" applyAlignment="1">
      <alignment horizontal="center" vertical="center"/>
    </xf>
    <xf numFmtId="43" fontId="12" fillId="0" borderId="36" xfId="0" applyNumberFormat="1" applyFont="1" applyBorder="1" applyAlignment="1">
      <alignment horizontal="center" vertical="center"/>
    </xf>
    <xf numFmtId="43" fontId="12" fillId="0" borderId="25" xfId="0" applyNumberFormat="1" applyFont="1" applyBorder="1" applyAlignment="1">
      <alignment horizontal="center" vertical="center"/>
    </xf>
    <xf numFmtId="43" fontId="0" fillId="0" borderId="15" xfId="0" applyNumberFormat="1" applyBorder="1" applyAlignment="1"/>
    <xf numFmtId="0" fontId="0" fillId="0" borderId="16" xfId="0" applyBorder="1" applyAlignment="1"/>
    <xf numFmtId="0" fontId="0" fillId="0" borderId="18" xfId="0" applyBorder="1" applyAlignment="1"/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43" fontId="6" fillId="0" borderId="16" xfId="1" applyFont="1" applyFill="1" applyBorder="1" applyAlignment="1" applyProtection="1">
      <alignment horizontal="left" vertical="center" wrapText="1" indent="1"/>
    </xf>
    <xf numFmtId="43" fontId="6" fillId="0" borderId="16" xfId="1" applyFont="1" applyFill="1" applyBorder="1" applyAlignment="1" applyProtection="1">
      <alignment horizontal="left" vertical="center" wrapText="1" indent="1"/>
      <protection locked="0"/>
    </xf>
    <xf numFmtId="43" fontId="6" fillId="0" borderId="17" xfId="1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14" fillId="0" borderId="2" xfId="0" applyFont="1" applyFill="1" applyBorder="1"/>
    <xf numFmtId="0" fontId="3" fillId="0" borderId="2" xfId="0" applyFont="1" applyFill="1" applyBorder="1" applyAlignment="1" applyProtection="1">
      <alignment horizontal="center"/>
      <protection locked="0"/>
    </xf>
    <xf numFmtId="43" fontId="3" fillId="0" borderId="2" xfId="1" applyFont="1" applyFill="1" applyBorder="1" applyAlignment="1" applyProtection="1">
      <alignment wrapText="1"/>
      <protection locked="0"/>
    </xf>
    <xf numFmtId="43" fontId="3" fillId="0" borderId="2" xfId="1" applyFont="1" applyFill="1" applyBorder="1" applyAlignment="1" applyProtection="1">
      <protection locked="0"/>
    </xf>
    <xf numFmtId="43" fontId="3" fillId="0" borderId="7" xfId="1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43" fontId="6" fillId="0" borderId="2" xfId="1" applyFont="1" applyFill="1" applyBorder="1" applyAlignment="1" applyProtection="1">
      <alignment horizontal="left" vertical="center" wrapText="1" indent="1"/>
    </xf>
    <xf numFmtId="43" fontId="6" fillId="0" borderId="2" xfId="1" applyFont="1" applyFill="1" applyBorder="1" applyAlignment="1" applyProtection="1">
      <alignment horizontal="left" vertical="center" wrapText="1" indent="1"/>
      <protection locked="0"/>
    </xf>
    <xf numFmtId="43" fontId="6" fillId="0" borderId="7" xfId="1" applyFont="1" applyFill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Fill="1" applyBorder="1" applyAlignment="1" applyProtection="1">
      <alignment horizontal="left" vertical="center" indent="1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43" fontId="4" fillId="0" borderId="7" xfId="1" applyFont="1" applyFill="1" applyBorder="1" applyAlignment="1" applyProtection="1">
      <alignment horizontal="left" vertical="center" wrapText="1" indent="1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 applyProtection="1">
      <alignment horizontal="left" vertical="center" wrapText="1" indent="1"/>
      <protection locked="0"/>
    </xf>
    <xf numFmtId="43" fontId="4" fillId="0" borderId="22" xfId="1" applyFont="1" applyFill="1" applyBorder="1" applyAlignment="1" applyProtection="1">
      <alignment horizontal="left" vertical="center" wrapText="1" indent="1"/>
      <protection locked="0"/>
    </xf>
    <xf numFmtId="43" fontId="4" fillId="0" borderId="23" xfId="1" applyFont="1" applyFill="1" applyBorder="1" applyAlignment="1" applyProtection="1">
      <alignment horizontal="left" vertical="center" wrapText="1" indent="1"/>
      <protection locked="0"/>
    </xf>
    <xf numFmtId="43" fontId="12" fillId="0" borderId="37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3" fontId="2" fillId="0" borderId="20" xfId="1" applyFont="1" applyBorder="1" applyAlignment="1" applyProtection="1">
      <alignment horizontal="center" vertical="center" wrapText="1"/>
      <protection locked="0"/>
    </xf>
    <xf numFmtId="43" fontId="2" fillId="0" borderId="4" xfId="1" applyFont="1" applyBorder="1" applyAlignment="1" applyProtection="1">
      <protection locked="0"/>
    </xf>
    <xf numFmtId="43" fontId="2" fillId="0" borderId="4" xfId="1" applyFont="1" applyBorder="1" applyAlignment="1" applyProtection="1">
      <alignment horizontal="center" vertical="center" wrapText="1"/>
      <protection locked="0"/>
    </xf>
    <xf numFmtId="43" fontId="2" fillId="0" borderId="33" xfId="1" applyFont="1" applyBorder="1" applyAlignment="1" applyProtection="1">
      <alignment horizontal="center" vertical="center" wrapText="1"/>
      <protection locked="0"/>
    </xf>
    <xf numFmtId="43" fontId="2" fillId="0" borderId="10" xfId="1" applyFont="1" applyBorder="1" applyAlignment="1" applyProtection="1">
      <protection locked="0"/>
    </xf>
    <xf numFmtId="43" fontId="11" fillId="0" borderId="11" xfId="1" applyFont="1" applyBorder="1" applyAlignment="1" applyProtection="1">
      <alignment horizontal="center" vertical="center"/>
      <protection locked="0"/>
    </xf>
    <xf numFmtId="43" fontId="11" fillId="0" borderId="9" xfId="1" applyFont="1" applyBorder="1" applyAlignment="1" applyProtection="1">
      <alignment horizontal="center" vertical="center"/>
      <protection locked="0"/>
    </xf>
    <xf numFmtId="43" fontId="11" fillId="0" borderId="12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3" fontId="2" fillId="0" borderId="4" xfId="1" applyFont="1" applyBorder="1" applyAlignment="1" applyProtection="1">
      <alignment wrapText="1"/>
      <protection locked="0"/>
    </xf>
    <xf numFmtId="43" fontId="2" fillId="0" borderId="6" xfId="1" applyFont="1" applyBorder="1" applyAlignment="1" applyProtection="1">
      <alignment horizontal="center" vertical="center" wrapText="1"/>
      <protection locked="0"/>
    </xf>
    <xf numFmtId="43" fontId="2" fillId="0" borderId="5" xfId="1" applyFont="1" applyBorder="1" applyAlignment="1" applyProtection="1"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protection locked="0"/>
    </xf>
  </cellXfs>
  <cellStyles count="2">
    <cellStyle name="Normal" xfId="0" builtinId="0"/>
    <cellStyle name="Vírgula" xfId="1" builtinId="3"/>
  </cellStyles>
  <dxfs count="2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161925</xdr:rowOff>
    </xdr:from>
    <xdr:to>
      <xdr:col>12</xdr:col>
      <xdr:colOff>609599</xdr:colOff>
      <xdr:row>8</xdr:row>
      <xdr:rowOff>105749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161925"/>
          <a:ext cx="8886825" cy="1467824"/>
        </a:xfrm>
        <a:prstGeom prst="rect">
          <a:avLst/>
        </a:prstGeom>
      </xdr:spPr>
    </xdr:pic>
    <xdr:clientData/>
  </xdr:twoCellAnchor>
  <xdr:twoCellAnchor>
    <xdr:from>
      <xdr:col>9</xdr:col>
      <xdr:colOff>180975</xdr:colOff>
      <xdr:row>17</xdr:row>
      <xdr:rowOff>114300</xdr:rowOff>
    </xdr:from>
    <xdr:to>
      <xdr:col>9</xdr:col>
      <xdr:colOff>1095375</xdr:colOff>
      <xdr:row>17</xdr:row>
      <xdr:rowOff>114300</xdr:rowOff>
    </xdr:to>
    <xdr:cxnSp macro="">
      <xdr:nvCxnSpPr>
        <xdr:cNvPr id="4" name="Conector reto 3"/>
        <xdr:cNvCxnSpPr/>
      </xdr:nvCxnSpPr>
      <xdr:spPr>
        <a:xfrm>
          <a:off x="5295900" y="3629025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19</xdr:row>
      <xdr:rowOff>142875</xdr:rowOff>
    </xdr:from>
    <xdr:to>
      <xdr:col>9</xdr:col>
      <xdr:colOff>1095375</xdr:colOff>
      <xdr:row>19</xdr:row>
      <xdr:rowOff>142875</xdr:rowOff>
    </xdr:to>
    <xdr:cxnSp macro="">
      <xdr:nvCxnSpPr>
        <xdr:cNvPr id="5" name="Conector reto 4"/>
        <xdr:cNvCxnSpPr/>
      </xdr:nvCxnSpPr>
      <xdr:spPr>
        <a:xfrm>
          <a:off x="5295900" y="403860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34</xdr:row>
      <xdr:rowOff>142875</xdr:rowOff>
    </xdr:from>
    <xdr:to>
      <xdr:col>9</xdr:col>
      <xdr:colOff>1123950</xdr:colOff>
      <xdr:row>34</xdr:row>
      <xdr:rowOff>142875</xdr:rowOff>
    </xdr:to>
    <xdr:cxnSp macro="">
      <xdr:nvCxnSpPr>
        <xdr:cNvPr id="6" name="Conector reto 5"/>
        <xdr:cNvCxnSpPr/>
      </xdr:nvCxnSpPr>
      <xdr:spPr>
        <a:xfrm>
          <a:off x="5324475" y="445770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49</xdr:row>
      <xdr:rowOff>190500</xdr:rowOff>
    </xdr:from>
    <xdr:to>
      <xdr:col>10</xdr:col>
      <xdr:colOff>1152525</xdr:colOff>
      <xdr:row>49</xdr:row>
      <xdr:rowOff>190500</xdr:rowOff>
    </xdr:to>
    <xdr:cxnSp macro="">
      <xdr:nvCxnSpPr>
        <xdr:cNvPr id="7" name="Conector reto 6"/>
        <xdr:cNvCxnSpPr/>
      </xdr:nvCxnSpPr>
      <xdr:spPr>
        <a:xfrm>
          <a:off x="6619875" y="493395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64</xdr:row>
      <xdr:rowOff>142875</xdr:rowOff>
    </xdr:from>
    <xdr:to>
      <xdr:col>10</xdr:col>
      <xdr:colOff>1162050</xdr:colOff>
      <xdr:row>64</xdr:row>
      <xdr:rowOff>142875</xdr:rowOff>
    </xdr:to>
    <xdr:cxnSp macro="">
      <xdr:nvCxnSpPr>
        <xdr:cNvPr id="8" name="Conector reto 7"/>
        <xdr:cNvCxnSpPr/>
      </xdr:nvCxnSpPr>
      <xdr:spPr>
        <a:xfrm>
          <a:off x="6629400" y="529590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79</xdr:row>
      <xdr:rowOff>114300</xdr:rowOff>
    </xdr:from>
    <xdr:to>
      <xdr:col>11</xdr:col>
      <xdr:colOff>1038225</xdr:colOff>
      <xdr:row>79</xdr:row>
      <xdr:rowOff>114300</xdr:rowOff>
    </xdr:to>
    <xdr:cxnSp macro="">
      <xdr:nvCxnSpPr>
        <xdr:cNvPr id="9" name="Conector reto 8"/>
        <xdr:cNvCxnSpPr/>
      </xdr:nvCxnSpPr>
      <xdr:spPr>
        <a:xfrm>
          <a:off x="7848600" y="569595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94</xdr:row>
      <xdr:rowOff>152400</xdr:rowOff>
    </xdr:from>
    <xdr:to>
      <xdr:col>11</xdr:col>
      <xdr:colOff>1047750</xdr:colOff>
      <xdr:row>94</xdr:row>
      <xdr:rowOff>152400</xdr:rowOff>
    </xdr:to>
    <xdr:cxnSp macro="">
      <xdr:nvCxnSpPr>
        <xdr:cNvPr id="10" name="Conector reto 9"/>
        <xdr:cNvCxnSpPr/>
      </xdr:nvCxnSpPr>
      <xdr:spPr>
        <a:xfrm>
          <a:off x="7858125" y="6115050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109</xdr:row>
      <xdr:rowOff>152400</xdr:rowOff>
    </xdr:from>
    <xdr:to>
      <xdr:col>12</xdr:col>
      <xdr:colOff>1038225</xdr:colOff>
      <xdr:row>109</xdr:row>
      <xdr:rowOff>152401</xdr:rowOff>
    </xdr:to>
    <xdr:cxnSp macro="">
      <xdr:nvCxnSpPr>
        <xdr:cNvPr id="11" name="Conector reto 10"/>
        <xdr:cNvCxnSpPr/>
      </xdr:nvCxnSpPr>
      <xdr:spPr>
        <a:xfrm flipV="1">
          <a:off x="6591300" y="6467475"/>
          <a:ext cx="3362325" cy="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116</xdr:row>
      <xdr:rowOff>152400</xdr:rowOff>
    </xdr:from>
    <xdr:to>
      <xdr:col>12</xdr:col>
      <xdr:colOff>1095375</xdr:colOff>
      <xdr:row>116</xdr:row>
      <xdr:rowOff>152400</xdr:rowOff>
    </xdr:to>
    <xdr:cxnSp macro="">
      <xdr:nvCxnSpPr>
        <xdr:cNvPr id="13" name="Conector reto 12"/>
        <xdr:cNvCxnSpPr/>
      </xdr:nvCxnSpPr>
      <xdr:spPr>
        <a:xfrm>
          <a:off x="9096375" y="6867525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118</xdr:row>
      <xdr:rowOff>142875</xdr:rowOff>
    </xdr:from>
    <xdr:to>
      <xdr:col>12</xdr:col>
      <xdr:colOff>1114425</xdr:colOff>
      <xdr:row>118</xdr:row>
      <xdr:rowOff>142875</xdr:rowOff>
    </xdr:to>
    <xdr:cxnSp macro="">
      <xdr:nvCxnSpPr>
        <xdr:cNvPr id="14" name="Conector reto 13"/>
        <xdr:cNvCxnSpPr/>
      </xdr:nvCxnSpPr>
      <xdr:spPr>
        <a:xfrm>
          <a:off x="9115425" y="7343775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124</xdr:row>
      <xdr:rowOff>142875</xdr:rowOff>
    </xdr:from>
    <xdr:to>
      <xdr:col>9</xdr:col>
      <xdr:colOff>1057275</xdr:colOff>
      <xdr:row>124</xdr:row>
      <xdr:rowOff>142875</xdr:rowOff>
    </xdr:to>
    <xdr:cxnSp macro="">
      <xdr:nvCxnSpPr>
        <xdr:cNvPr id="15" name="Conector reto 14"/>
        <xdr:cNvCxnSpPr/>
      </xdr:nvCxnSpPr>
      <xdr:spPr>
        <a:xfrm>
          <a:off x="5257800" y="7781925"/>
          <a:ext cx="914400" cy="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161925</xdr:rowOff>
    </xdr:from>
    <xdr:to>
      <xdr:col>8</xdr:col>
      <xdr:colOff>676274</xdr:colOff>
      <xdr:row>8</xdr:row>
      <xdr:rowOff>105749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161925"/>
          <a:ext cx="8886825" cy="146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138"/>
  <sheetViews>
    <sheetView workbookViewId="0">
      <selection activeCell="A11" sqref="A11"/>
    </sheetView>
  </sheetViews>
  <sheetFormatPr defaultRowHeight="15" x14ac:dyDescent="0.25"/>
  <cols>
    <col min="1" max="1" width="6.42578125" customWidth="1"/>
    <col min="2" max="2" width="7" customWidth="1"/>
    <col min="3" max="3" width="46.5703125" customWidth="1"/>
    <col min="4" max="4" width="0" hidden="1" customWidth="1"/>
    <col min="5" max="5" width="11.5703125" hidden="1" customWidth="1"/>
    <col min="6" max="6" width="11" hidden="1" customWidth="1"/>
    <col min="7" max="7" width="13.85546875" hidden="1" customWidth="1"/>
    <col min="8" max="8" width="13.7109375" hidden="1" customWidth="1"/>
    <col min="9" max="9" width="15.85546875" customWidth="1"/>
    <col min="10" max="12" width="17.85546875" customWidth="1"/>
    <col min="13" max="13" width="18" customWidth="1"/>
  </cols>
  <sheetData>
    <row r="10" spans="1:13" ht="15.75" x14ac:dyDescent="0.25">
      <c r="A10" s="111" t="s">
        <v>164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2" spans="1:13" x14ac:dyDescent="0.25">
      <c r="A12" s="10" t="s">
        <v>86</v>
      </c>
      <c r="B12" s="9"/>
      <c r="C12" s="138" t="s">
        <v>89</v>
      </c>
      <c r="D12" s="138"/>
      <c r="E12" s="138"/>
      <c r="F12" s="138"/>
      <c r="G12" s="138"/>
      <c r="H12" s="138"/>
      <c r="I12" s="138"/>
    </row>
    <row r="13" spans="1:13" x14ac:dyDescent="0.25">
      <c r="A13" s="11" t="s">
        <v>88</v>
      </c>
      <c r="C13" s="138" t="s">
        <v>90</v>
      </c>
      <c r="D13" s="138"/>
      <c r="E13" s="138"/>
      <c r="F13" s="138"/>
      <c r="G13" s="138"/>
      <c r="H13" s="138"/>
      <c r="I13" s="138"/>
    </row>
    <row r="14" spans="1:13" x14ac:dyDescent="0.25">
      <c r="A14" s="11" t="s">
        <v>87</v>
      </c>
      <c r="C14" s="139">
        <v>0</v>
      </c>
      <c r="D14" s="139"/>
      <c r="E14" s="139"/>
      <c r="F14" s="139"/>
      <c r="G14" s="139"/>
      <c r="H14" s="139"/>
      <c r="I14" s="139"/>
    </row>
    <row r="15" spans="1:13" ht="15.75" thickBot="1" x14ac:dyDescent="0.3"/>
    <row r="16" spans="1:13" x14ac:dyDescent="0.25">
      <c r="A16" s="124" t="s">
        <v>135</v>
      </c>
      <c r="B16" s="125"/>
      <c r="C16" s="140" t="s">
        <v>0</v>
      </c>
      <c r="D16" s="142" t="s">
        <v>137</v>
      </c>
      <c r="E16" s="130" t="s">
        <v>138</v>
      </c>
      <c r="F16" s="130" t="s">
        <v>139</v>
      </c>
      <c r="G16" s="130" t="s">
        <v>140</v>
      </c>
      <c r="H16" s="130" t="s">
        <v>155</v>
      </c>
      <c r="I16" s="133" t="s">
        <v>141</v>
      </c>
      <c r="J16" s="115" t="s">
        <v>160</v>
      </c>
      <c r="K16" s="117" t="s">
        <v>161</v>
      </c>
      <c r="L16" s="117" t="s">
        <v>162</v>
      </c>
      <c r="M16" s="112" t="s">
        <v>163</v>
      </c>
    </row>
    <row r="17" spans="1:13" ht="23.25" customHeight="1" thickBot="1" x14ac:dyDescent="0.3">
      <c r="A17" s="126"/>
      <c r="B17" s="127"/>
      <c r="C17" s="141"/>
      <c r="D17" s="143"/>
      <c r="E17" s="144"/>
      <c r="F17" s="144"/>
      <c r="G17" s="131"/>
      <c r="H17" s="132"/>
      <c r="I17" s="134"/>
      <c r="J17" s="116"/>
      <c r="K17" s="118"/>
      <c r="L17" s="118"/>
      <c r="M17" s="113"/>
    </row>
    <row r="18" spans="1:13" ht="39.75" customHeight="1" x14ac:dyDescent="0.25">
      <c r="A18" s="128" t="s">
        <v>2</v>
      </c>
      <c r="B18" s="129"/>
      <c r="C18" s="80" t="s">
        <v>133</v>
      </c>
      <c r="D18" s="80"/>
      <c r="E18" s="81"/>
      <c r="F18" s="82"/>
      <c r="G18" s="82"/>
      <c r="H18" s="83"/>
      <c r="I18" s="83">
        <f>I19</f>
        <v>3862.9800000000005</v>
      </c>
      <c r="J18" s="77">
        <f>I18</f>
        <v>3862.9800000000005</v>
      </c>
      <c r="K18" s="78"/>
      <c r="L18" s="78"/>
      <c r="M18" s="79"/>
    </row>
    <row r="19" spans="1:13" ht="16.5" hidden="1" customHeight="1" x14ac:dyDescent="0.25">
      <c r="A19" s="84"/>
      <c r="B19" s="85" t="s">
        <v>142</v>
      </c>
      <c r="C19" s="86" t="s">
        <v>134</v>
      </c>
      <c r="D19" s="87" t="s">
        <v>84</v>
      </c>
      <c r="E19" s="88"/>
      <c r="F19" s="89">
        <v>6</v>
      </c>
      <c r="G19" s="89">
        <v>643.83000000000004</v>
      </c>
      <c r="H19" s="89">
        <f>C14*G19+G19</f>
        <v>643.83000000000004</v>
      </c>
      <c r="I19" s="90">
        <f>F19*H19</f>
        <v>3862.9800000000005</v>
      </c>
      <c r="J19" s="69"/>
      <c r="K19" s="65"/>
      <c r="L19" s="65"/>
      <c r="M19" s="68"/>
    </row>
    <row r="20" spans="1:13" ht="33" customHeight="1" x14ac:dyDescent="0.25">
      <c r="A20" s="121" t="s">
        <v>34</v>
      </c>
      <c r="B20" s="122"/>
      <c r="C20" s="91" t="s">
        <v>91</v>
      </c>
      <c r="D20" s="91" t="s">
        <v>3</v>
      </c>
      <c r="E20" s="92"/>
      <c r="F20" s="93">
        <v>5</v>
      </c>
      <c r="G20" s="93"/>
      <c r="H20" s="94"/>
      <c r="I20" s="94">
        <f>SUM(I24:I34)</f>
        <v>3561.6765</v>
      </c>
      <c r="J20" s="67">
        <f>I20</f>
        <v>3561.6765</v>
      </c>
      <c r="K20" s="65"/>
      <c r="L20" s="65"/>
      <c r="M20" s="68"/>
    </row>
    <row r="21" spans="1:13" hidden="1" x14ac:dyDescent="0.25">
      <c r="A21" s="95"/>
      <c r="B21" s="96"/>
      <c r="C21" s="91" t="s">
        <v>4</v>
      </c>
      <c r="D21" s="91" t="s">
        <v>5</v>
      </c>
      <c r="E21" s="92">
        <v>3.61</v>
      </c>
      <c r="F21" s="1"/>
      <c r="G21" s="93" t="s">
        <v>1</v>
      </c>
      <c r="H21" s="94"/>
      <c r="I21" s="94" t="str">
        <f>IF(ISBLANK(B21)," ",E21*G21)</f>
        <v xml:space="preserve"> </v>
      </c>
      <c r="J21" s="69"/>
      <c r="K21" s="65"/>
      <c r="L21" s="65"/>
      <c r="M21" s="68"/>
    </row>
    <row r="22" spans="1:13" hidden="1" x14ac:dyDescent="0.25">
      <c r="A22" s="95"/>
      <c r="B22" s="96"/>
      <c r="C22" s="91" t="s">
        <v>36</v>
      </c>
      <c r="D22" s="91" t="s">
        <v>6</v>
      </c>
      <c r="E22" s="92">
        <v>2.5</v>
      </c>
      <c r="F22" s="1"/>
      <c r="G22" s="93" t="s">
        <v>1</v>
      </c>
      <c r="H22" s="94"/>
      <c r="I22" s="94" t="str">
        <f>IF(ISBLANK(B22)," ",E22*G22)</f>
        <v xml:space="preserve"> </v>
      </c>
      <c r="J22" s="69"/>
      <c r="K22" s="65"/>
      <c r="L22" s="65"/>
      <c r="M22" s="68"/>
    </row>
    <row r="23" spans="1:13" hidden="1" x14ac:dyDescent="0.25">
      <c r="A23" s="95"/>
      <c r="B23" s="96"/>
      <c r="C23" s="91" t="s">
        <v>7</v>
      </c>
      <c r="D23" s="91"/>
      <c r="E23" s="92"/>
      <c r="F23" s="93"/>
      <c r="G23" s="93"/>
      <c r="H23" s="94"/>
      <c r="I23" s="94"/>
      <c r="J23" s="69"/>
      <c r="K23" s="65"/>
      <c r="L23" s="65"/>
      <c r="M23" s="68"/>
    </row>
    <row r="24" spans="1:13" ht="34.5" hidden="1" customHeight="1" x14ac:dyDescent="0.25">
      <c r="A24" s="97" t="s">
        <v>37</v>
      </c>
      <c r="B24" s="3" t="s">
        <v>8</v>
      </c>
      <c r="C24" s="98" t="s">
        <v>9</v>
      </c>
      <c r="D24" s="98" t="s">
        <v>10</v>
      </c>
      <c r="E24" s="5">
        <f>TRUNC(+E22,2)</f>
        <v>2.5</v>
      </c>
      <c r="F24" s="5">
        <f>E24*F20</f>
        <v>12.5</v>
      </c>
      <c r="G24" s="1">
        <v>6.7</v>
      </c>
      <c r="H24" s="99">
        <f>C14*G24+G24</f>
        <v>6.7</v>
      </c>
      <c r="I24" s="99">
        <f>F24*H24</f>
        <v>83.75</v>
      </c>
      <c r="J24" s="69"/>
      <c r="K24" s="65"/>
      <c r="L24" s="65"/>
      <c r="M24" s="68"/>
    </row>
    <row r="25" spans="1:13" ht="24" hidden="1" customHeight="1" x14ac:dyDescent="0.25">
      <c r="A25" s="97" t="s">
        <v>38</v>
      </c>
      <c r="B25" s="3" t="s">
        <v>11</v>
      </c>
      <c r="C25" s="98" t="s">
        <v>12</v>
      </c>
      <c r="D25" s="98" t="s">
        <v>13</v>
      </c>
      <c r="E25" s="5">
        <f>TRUNC(+E24*0.3*0.1,2)</f>
        <v>7.0000000000000007E-2</v>
      </c>
      <c r="F25" s="5">
        <f>E25*F20</f>
        <v>0.35000000000000003</v>
      </c>
      <c r="G25" s="1">
        <v>184.25</v>
      </c>
      <c r="H25" s="99">
        <f>C14*G25+G25</f>
        <v>184.25</v>
      </c>
      <c r="I25" s="99">
        <f>F25*H25</f>
        <v>64.487500000000011</v>
      </c>
      <c r="J25" s="69"/>
      <c r="K25" s="65"/>
      <c r="L25" s="65"/>
      <c r="M25" s="68"/>
    </row>
    <row r="26" spans="1:13" ht="35.25" hidden="1" customHeight="1" x14ac:dyDescent="0.25">
      <c r="A26" s="97" t="s">
        <v>39</v>
      </c>
      <c r="B26" s="3" t="s">
        <v>14</v>
      </c>
      <c r="C26" s="98" t="s">
        <v>15</v>
      </c>
      <c r="D26" s="98" t="s">
        <v>13</v>
      </c>
      <c r="E26" s="5">
        <f>TRUNC(E21*(0.15),2)</f>
        <v>0.54</v>
      </c>
      <c r="F26" s="5">
        <f>E26*F20</f>
        <v>2.7</v>
      </c>
      <c r="G26" s="1">
        <v>50.25</v>
      </c>
      <c r="H26" s="99">
        <f>C14*G26+G26</f>
        <v>50.25</v>
      </c>
      <c r="I26" s="99">
        <f>F26*H26</f>
        <v>135.67500000000001</v>
      </c>
      <c r="J26" s="69"/>
      <c r="K26" s="65"/>
      <c r="L26" s="65"/>
      <c r="M26" s="68"/>
    </row>
    <row r="27" spans="1:13" ht="47.25" hidden="1" customHeight="1" x14ac:dyDescent="0.25">
      <c r="A27" s="97" t="s">
        <v>40</v>
      </c>
      <c r="B27" s="3" t="s">
        <v>16</v>
      </c>
      <c r="C27" s="98" t="s">
        <v>17</v>
      </c>
      <c r="D27" s="98" t="s">
        <v>13</v>
      </c>
      <c r="E27" s="5">
        <f>TRUNC((+E26*1.3)+(E25+E24*0.15*0.46)*1.2,2)</f>
        <v>0.99</v>
      </c>
      <c r="F27" s="5">
        <f>E27*F20</f>
        <v>4.95</v>
      </c>
      <c r="G27" s="1">
        <v>88.24</v>
      </c>
      <c r="H27" s="99">
        <f>C14*G27+G27</f>
        <v>88.24</v>
      </c>
      <c r="I27" s="99">
        <f t="shared" ref="I27:I34" si="0">F27*H27</f>
        <v>436.78800000000001</v>
      </c>
      <c r="J27" s="69"/>
      <c r="K27" s="65"/>
      <c r="L27" s="65"/>
      <c r="M27" s="68"/>
    </row>
    <row r="28" spans="1:13" ht="25.5" hidden="1" customHeight="1" x14ac:dyDescent="0.25">
      <c r="A28" s="97" t="s">
        <v>41</v>
      </c>
      <c r="B28" s="3" t="s">
        <v>18</v>
      </c>
      <c r="C28" s="98" t="s">
        <v>19</v>
      </c>
      <c r="D28" s="98" t="s">
        <v>13</v>
      </c>
      <c r="E28" s="5">
        <f>TRUNC(E21*0.03,2)</f>
        <v>0.1</v>
      </c>
      <c r="F28" s="5">
        <f>E28*F20</f>
        <v>0.5</v>
      </c>
      <c r="G28" s="1">
        <v>139.27000000000001</v>
      </c>
      <c r="H28" s="99">
        <f>C14*G28+G28</f>
        <v>139.27000000000001</v>
      </c>
      <c r="I28" s="99">
        <f t="shared" si="0"/>
        <v>69.635000000000005</v>
      </c>
      <c r="J28" s="69"/>
      <c r="K28" s="65"/>
      <c r="L28" s="65"/>
      <c r="M28" s="68"/>
    </row>
    <row r="29" spans="1:13" ht="21.75" hidden="1" customHeight="1" x14ac:dyDescent="0.25">
      <c r="A29" s="97" t="s">
        <v>42</v>
      </c>
      <c r="B29" s="3" t="s">
        <v>20</v>
      </c>
      <c r="C29" s="98" t="s">
        <v>21</v>
      </c>
      <c r="D29" s="98" t="s">
        <v>22</v>
      </c>
      <c r="E29" s="5">
        <f>TRUNC(0.97*E21,2)</f>
        <v>3.5</v>
      </c>
      <c r="F29" s="5">
        <f>E29*F20</f>
        <v>17.5</v>
      </c>
      <c r="G29" s="1">
        <v>13.86</v>
      </c>
      <c r="H29" s="99">
        <f>C14*G29+G29</f>
        <v>13.86</v>
      </c>
      <c r="I29" s="99">
        <f t="shared" si="0"/>
        <v>242.54999999999998</v>
      </c>
      <c r="J29" s="69"/>
      <c r="K29" s="65"/>
      <c r="L29" s="65"/>
      <c r="M29" s="68"/>
    </row>
    <row r="30" spans="1:13" ht="34.5" hidden="1" customHeight="1" x14ac:dyDescent="0.25">
      <c r="A30" s="97" t="s">
        <v>43</v>
      </c>
      <c r="B30" s="3" t="s">
        <v>23</v>
      </c>
      <c r="C30" s="98" t="s">
        <v>24</v>
      </c>
      <c r="D30" s="98" t="s">
        <v>13</v>
      </c>
      <c r="E30" s="5">
        <f>TRUNC(E21*0.07,2)</f>
        <v>0.25</v>
      </c>
      <c r="F30" s="5">
        <f>E30*F20</f>
        <v>1.25</v>
      </c>
      <c r="G30" s="1">
        <v>816.06</v>
      </c>
      <c r="H30" s="99">
        <f>C14*G30+G30</f>
        <v>816.06</v>
      </c>
      <c r="I30" s="99">
        <f t="shared" si="0"/>
        <v>1020.0749999999999</v>
      </c>
      <c r="J30" s="69"/>
      <c r="K30" s="65"/>
      <c r="L30" s="65"/>
      <c r="M30" s="68"/>
    </row>
    <row r="31" spans="1:13" ht="21.75" hidden="1" customHeight="1" x14ac:dyDescent="0.25">
      <c r="A31" s="97" t="s">
        <v>44</v>
      </c>
      <c r="B31" s="3" t="s">
        <v>25</v>
      </c>
      <c r="C31" s="98" t="s">
        <v>26</v>
      </c>
      <c r="D31" s="98" t="s">
        <v>27</v>
      </c>
      <c r="E31" s="5">
        <f>TRUNC(E21-E32,2)</f>
        <v>2.8</v>
      </c>
      <c r="F31" s="5">
        <f>E31*F20</f>
        <v>14</v>
      </c>
      <c r="G31" s="1">
        <v>28.43</v>
      </c>
      <c r="H31" s="99">
        <f>C14*G31+G31</f>
        <v>28.43</v>
      </c>
      <c r="I31" s="99">
        <f t="shared" si="0"/>
        <v>398.02</v>
      </c>
      <c r="J31" s="69"/>
      <c r="K31" s="65"/>
      <c r="L31" s="65"/>
      <c r="M31" s="68"/>
    </row>
    <row r="32" spans="1:13" ht="35.25" hidden="1" customHeight="1" x14ac:dyDescent="0.25">
      <c r="A32" s="97" t="s">
        <v>45</v>
      </c>
      <c r="B32" s="3" t="s">
        <v>28</v>
      </c>
      <c r="C32" s="98" t="s">
        <v>29</v>
      </c>
      <c r="D32" s="98" t="s">
        <v>27</v>
      </c>
      <c r="E32" s="5">
        <f>TRUNC(0.3*0.3*9,2)</f>
        <v>0.81</v>
      </c>
      <c r="F32" s="5">
        <f>E32*F20</f>
        <v>4.0500000000000007</v>
      </c>
      <c r="G32" s="1">
        <v>177.44</v>
      </c>
      <c r="H32" s="99">
        <f>C14*G32+G32</f>
        <v>177.44</v>
      </c>
      <c r="I32" s="99">
        <f t="shared" si="0"/>
        <v>718.63200000000006</v>
      </c>
      <c r="J32" s="69"/>
      <c r="K32" s="65"/>
      <c r="L32" s="65"/>
      <c r="M32" s="68"/>
    </row>
    <row r="33" spans="1:13" ht="34.5" hidden="1" customHeight="1" x14ac:dyDescent="0.25">
      <c r="A33" s="97" t="s">
        <v>46</v>
      </c>
      <c r="B33" s="3" t="s">
        <v>30</v>
      </c>
      <c r="C33" s="98" t="s">
        <v>31</v>
      </c>
      <c r="D33" s="98" t="s">
        <v>13</v>
      </c>
      <c r="E33" s="5">
        <f>TRUNC(+E24*0.3*0.1,2)</f>
        <v>7.0000000000000007E-2</v>
      </c>
      <c r="F33" s="5">
        <f>E33*F20</f>
        <v>0.35000000000000003</v>
      </c>
      <c r="G33" s="1">
        <v>465.54</v>
      </c>
      <c r="H33" s="99">
        <f>C14*G33+G33</f>
        <v>465.54</v>
      </c>
      <c r="I33" s="99">
        <f t="shared" si="0"/>
        <v>162.93900000000002</v>
      </c>
      <c r="J33" s="69"/>
      <c r="K33" s="65"/>
      <c r="L33" s="65"/>
      <c r="M33" s="68"/>
    </row>
    <row r="34" spans="1:13" ht="21" hidden="1" customHeight="1" x14ac:dyDescent="0.25">
      <c r="A34" s="97" t="s">
        <v>47</v>
      </c>
      <c r="B34" s="3" t="s">
        <v>32</v>
      </c>
      <c r="C34" s="98" t="s">
        <v>33</v>
      </c>
      <c r="D34" s="98" t="s">
        <v>10</v>
      </c>
      <c r="E34" s="5">
        <f>+E24</f>
        <v>2.5</v>
      </c>
      <c r="F34" s="5">
        <f>E34*F20</f>
        <v>12.5</v>
      </c>
      <c r="G34" s="1">
        <v>18.329999999999998</v>
      </c>
      <c r="H34" s="99">
        <f>C14*G34+G34</f>
        <v>18.329999999999998</v>
      </c>
      <c r="I34" s="99">
        <f t="shared" si="0"/>
        <v>229.12499999999997</v>
      </c>
      <c r="J34" s="69"/>
      <c r="K34" s="65"/>
      <c r="L34" s="65"/>
      <c r="M34" s="68"/>
    </row>
    <row r="35" spans="1:13" ht="39.75" customHeight="1" x14ac:dyDescent="0.25">
      <c r="A35" s="121" t="s">
        <v>48</v>
      </c>
      <c r="B35" s="122"/>
      <c r="C35" s="91" t="s">
        <v>80</v>
      </c>
      <c r="D35" s="91" t="s">
        <v>3</v>
      </c>
      <c r="E35" s="92"/>
      <c r="F35" s="93">
        <f>2+1</f>
        <v>3</v>
      </c>
      <c r="G35" s="93"/>
      <c r="H35" s="94"/>
      <c r="I35" s="94">
        <f>SUM(I39:I49)</f>
        <v>4091.3967750000002</v>
      </c>
      <c r="J35" s="67">
        <f>I35</f>
        <v>4091.3967750000002</v>
      </c>
      <c r="K35" s="65"/>
      <c r="L35" s="65"/>
      <c r="M35" s="68"/>
    </row>
    <row r="36" spans="1:13" hidden="1" x14ac:dyDescent="0.25">
      <c r="A36" s="95"/>
      <c r="B36" s="96"/>
      <c r="C36" s="91" t="s">
        <v>35</v>
      </c>
      <c r="D36" s="91" t="s">
        <v>6</v>
      </c>
      <c r="E36" s="92">
        <v>1.5</v>
      </c>
      <c r="F36" s="1"/>
      <c r="G36" s="93"/>
      <c r="H36" s="94"/>
      <c r="I36" s="94" t="str">
        <f>IF(ISBLANK(B36)," ",E36*G36)</f>
        <v xml:space="preserve"> </v>
      </c>
      <c r="J36" s="69"/>
      <c r="K36" s="65"/>
      <c r="L36" s="65"/>
      <c r="M36" s="68"/>
    </row>
    <row r="37" spans="1:13" hidden="1" x14ac:dyDescent="0.25">
      <c r="A37" s="95"/>
      <c r="B37" s="96"/>
      <c r="C37" s="91" t="s">
        <v>36</v>
      </c>
      <c r="D37" s="91" t="s">
        <v>6</v>
      </c>
      <c r="E37" s="92">
        <v>5.7</v>
      </c>
      <c r="F37" s="1"/>
      <c r="G37" s="93"/>
      <c r="H37" s="94"/>
      <c r="I37" s="94" t="str">
        <f>IF(ISBLANK(B37)," ",E37*G37)</f>
        <v xml:space="preserve"> </v>
      </c>
      <c r="J37" s="69"/>
      <c r="K37" s="65"/>
      <c r="L37" s="65"/>
      <c r="M37" s="68"/>
    </row>
    <row r="38" spans="1:13" hidden="1" x14ac:dyDescent="0.25">
      <c r="A38" s="95"/>
      <c r="B38" s="96"/>
      <c r="C38" s="91" t="s">
        <v>7</v>
      </c>
      <c r="D38" s="91"/>
      <c r="E38" s="92"/>
      <c r="F38" s="93"/>
      <c r="G38" s="93"/>
      <c r="H38" s="94"/>
      <c r="I38" s="94"/>
      <c r="J38" s="69"/>
      <c r="K38" s="65"/>
      <c r="L38" s="65"/>
      <c r="M38" s="68"/>
    </row>
    <row r="39" spans="1:13" ht="38.25" hidden="1" customHeight="1" x14ac:dyDescent="0.25">
      <c r="A39" s="97" t="s">
        <v>37</v>
      </c>
      <c r="B39" s="3" t="s">
        <v>8</v>
      </c>
      <c r="C39" s="98" t="s">
        <v>9</v>
      </c>
      <c r="D39" s="98" t="s">
        <v>10</v>
      </c>
      <c r="E39" s="5">
        <f>TRUNC(+E37,2)</f>
        <v>5.7</v>
      </c>
      <c r="F39" s="5">
        <f>E39*F35</f>
        <v>17.100000000000001</v>
      </c>
      <c r="G39" s="1">
        <v>6.7</v>
      </c>
      <c r="H39" s="99">
        <f>C14*G39+G39</f>
        <v>6.7</v>
      </c>
      <c r="I39" s="99">
        <f t="shared" ref="I39:I49" si="1">F39*H39</f>
        <v>114.57000000000001</v>
      </c>
      <c r="J39" s="69"/>
      <c r="K39" s="65"/>
      <c r="L39" s="65"/>
      <c r="M39" s="68"/>
    </row>
    <row r="40" spans="1:13" ht="23.25" hidden="1" customHeight="1" x14ac:dyDescent="0.25">
      <c r="A40" s="97" t="s">
        <v>38</v>
      </c>
      <c r="B40" s="3" t="s">
        <v>11</v>
      </c>
      <c r="C40" s="98" t="s">
        <v>12</v>
      </c>
      <c r="D40" s="98" t="s">
        <v>13</v>
      </c>
      <c r="E40" s="5">
        <f>TRUNC(+E39*0.3*0.1,2)</f>
        <v>0.17</v>
      </c>
      <c r="F40" s="5">
        <f>E40*F35</f>
        <v>0.51</v>
      </c>
      <c r="G40" s="1">
        <v>184.25</v>
      </c>
      <c r="H40" s="99">
        <f>C14*G40+G40</f>
        <v>184.25</v>
      </c>
      <c r="I40" s="99">
        <f t="shared" si="1"/>
        <v>93.967500000000001</v>
      </c>
      <c r="J40" s="69"/>
      <c r="K40" s="65"/>
      <c r="L40" s="65"/>
      <c r="M40" s="68"/>
    </row>
    <row r="41" spans="1:13" ht="30.75" hidden="1" customHeight="1" x14ac:dyDescent="0.25">
      <c r="A41" s="97" t="s">
        <v>39</v>
      </c>
      <c r="B41" s="3" t="s">
        <v>14</v>
      </c>
      <c r="C41" s="98" t="s">
        <v>15</v>
      </c>
      <c r="D41" s="98" t="s">
        <v>13</v>
      </c>
      <c r="E41" s="5">
        <f>E36*E37*0.15</f>
        <v>1.2825</v>
      </c>
      <c r="F41" s="5">
        <f>E41*F35</f>
        <v>3.8475000000000001</v>
      </c>
      <c r="G41" s="1">
        <v>50.25</v>
      </c>
      <c r="H41" s="99">
        <f>C14*G41+G41</f>
        <v>50.25</v>
      </c>
      <c r="I41" s="99">
        <f t="shared" si="1"/>
        <v>193.33687500000002</v>
      </c>
      <c r="J41" s="69"/>
      <c r="K41" s="65"/>
      <c r="L41" s="65"/>
      <c r="M41" s="68"/>
    </row>
    <row r="42" spans="1:13" ht="57.75" hidden="1" customHeight="1" x14ac:dyDescent="0.25">
      <c r="A42" s="97" t="s">
        <v>40</v>
      </c>
      <c r="B42" s="3" t="s">
        <v>16</v>
      </c>
      <c r="C42" s="98" t="s">
        <v>17</v>
      </c>
      <c r="D42" s="98" t="s">
        <v>13</v>
      </c>
      <c r="E42" s="5">
        <f>TRUNC((+E41*1.3)+(E40+E39*0.15*0.46)*1.2,2)</f>
        <v>2.34</v>
      </c>
      <c r="F42" s="5">
        <f>E42*F35</f>
        <v>7.02</v>
      </c>
      <c r="G42" s="1">
        <v>88.24</v>
      </c>
      <c r="H42" s="99">
        <f>C14*G42+G42</f>
        <v>88.24</v>
      </c>
      <c r="I42" s="99">
        <f t="shared" si="1"/>
        <v>619.44479999999987</v>
      </c>
      <c r="J42" s="69"/>
      <c r="K42" s="65"/>
      <c r="L42" s="65"/>
      <c r="M42" s="68"/>
    </row>
    <row r="43" spans="1:13" ht="24.75" hidden="1" customHeight="1" x14ac:dyDescent="0.25">
      <c r="A43" s="97" t="s">
        <v>41</v>
      </c>
      <c r="B43" s="3" t="s">
        <v>18</v>
      </c>
      <c r="C43" s="98" t="s">
        <v>19</v>
      </c>
      <c r="D43" s="98" t="s">
        <v>13</v>
      </c>
      <c r="E43" s="5">
        <f>TRUNC(+E37*E36*0.03,2)</f>
        <v>0.25</v>
      </c>
      <c r="F43" s="5">
        <f>E43*F35</f>
        <v>0.75</v>
      </c>
      <c r="G43" s="1">
        <v>139.27000000000001</v>
      </c>
      <c r="H43" s="99">
        <f>C14*G43+G43</f>
        <v>139.27000000000001</v>
      </c>
      <c r="I43" s="99">
        <f t="shared" si="1"/>
        <v>104.45250000000001</v>
      </c>
      <c r="J43" s="69"/>
      <c r="K43" s="65"/>
      <c r="L43" s="65"/>
      <c r="M43" s="68"/>
    </row>
    <row r="44" spans="1:13" ht="22.5" hidden="1" customHeight="1" x14ac:dyDescent="0.25">
      <c r="A44" s="97" t="s">
        <v>42</v>
      </c>
      <c r="B44" s="3" t="s">
        <v>20</v>
      </c>
      <c r="C44" s="98" t="s">
        <v>21</v>
      </c>
      <c r="D44" s="98" t="s">
        <v>22</v>
      </c>
      <c r="E44" s="5">
        <f>TRUNC(0.97*E37*E36,2)</f>
        <v>8.2899999999999991</v>
      </c>
      <c r="F44" s="5">
        <f>E44*F35</f>
        <v>24.869999999999997</v>
      </c>
      <c r="G44" s="1">
        <v>13.86</v>
      </c>
      <c r="H44" s="99">
        <f>C14*G44+G44</f>
        <v>13.86</v>
      </c>
      <c r="I44" s="99">
        <f t="shared" si="1"/>
        <v>344.69819999999993</v>
      </c>
      <c r="J44" s="69"/>
      <c r="K44" s="65"/>
      <c r="L44" s="65"/>
      <c r="M44" s="68"/>
    </row>
    <row r="45" spans="1:13" ht="37.5" hidden="1" customHeight="1" x14ac:dyDescent="0.25">
      <c r="A45" s="97" t="s">
        <v>43</v>
      </c>
      <c r="B45" s="3" t="s">
        <v>23</v>
      </c>
      <c r="C45" s="98" t="s">
        <v>24</v>
      </c>
      <c r="D45" s="98" t="s">
        <v>13</v>
      </c>
      <c r="E45" s="5">
        <f>TRUNC(++E37*E36*0.05,2)</f>
        <v>0.42</v>
      </c>
      <c r="F45" s="5">
        <f>E45*F35</f>
        <v>1.26</v>
      </c>
      <c r="G45" s="1">
        <v>816.06</v>
      </c>
      <c r="H45" s="99">
        <f>C14*G45+G45</f>
        <v>816.06</v>
      </c>
      <c r="I45" s="99">
        <f t="shared" si="1"/>
        <v>1028.2356</v>
      </c>
      <c r="J45" s="69"/>
      <c r="K45" s="65"/>
      <c r="L45" s="65"/>
      <c r="M45" s="68"/>
    </row>
    <row r="46" spans="1:13" ht="21" hidden="1" customHeight="1" x14ac:dyDescent="0.25">
      <c r="A46" s="97" t="s">
        <v>44</v>
      </c>
      <c r="B46" s="3" t="s">
        <v>25</v>
      </c>
      <c r="C46" s="98" t="s">
        <v>26</v>
      </c>
      <c r="D46" s="98" t="s">
        <v>27</v>
      </c>
      <c r="E46" s="5">
        <f>TRUNC(E36*E37-E47,2)</f>
        <v>7.2</v>
      </c>
      <c r="F46" s="5">
        <f>E46*F35</f>
        <v>21.6</v>
      </c>
      <c r="G46" s="1">
        <v>28.43</v>
      </c>
      <c r="H46" s="99">
        <f>C14*G46+G46</f>
        <v>28.43</v>
      </c>
      <c r="I46" s="99">
        <f t="shared" si="1"/>
        <v>614.08800000000008</v>
      </c>
      <c r="J46" s="69"/>
      <c r="K46" s="65"/>
      <c r="L46" s="65"/>
      <c r="M46" s="68"/>
    </row>
    <row r="47" spans="1:13" ht="39.75" hidden="1" customHeight="1" x14ac:dyDescent="0.25">
      <c r="A47" s="97" t="s">
        <v>45</v>
      </c>
      <c r="B47" s="3" t="s">
        <v>28</v>
      </c>
      <c r="C47" s="98" t="s">
        <v>29</v>
      </c>
      <c r="D47" s="98" t="s">
        <v>27</v>
      </c>
      <c r="E47" s="5">
        <f>15*0.3*0.3</f>
        <v>1.3499999999999999</v>
      </c>
      <c r="F47" s="5">
        <f>E47*F35</f>
        <v>4.05</v>
      </c>
      <c r="G47" s="1">
        <v>177.44</v>
      </c>
      <c r="H47" s="99">
        <f>C14*G47+G47</f>
        <v>177.44</v>
      </c>
      <c r="I47" s="99">
        <f t="shared" si="1"/>
        <v>718.63199999999995</v>
      </c>
      <c r="J47" s="69"/>
      <c r="K47" s="65"/>
      <c r="L47" s="65"/>
      <c r="M47" s="68"/>
    </row>
    <row r="48" spans="1:13" ht="34.5" hidden="1" customHeight="1" x14ac:dyDescent="0.25">
      <c r="A48" s="97" t="s">
        <v>46</v>
      </c>
      <c r="B48" s="3" t="s">
        <v>30</v>
      </c>
      <c r="C48" s="98" t="s">
        <v>31</v>
      </c>
      <c r="D48" s="98" t="s">
        <v>13</v>
      </c>
      <c r="E48" s="5">
        <f>TRUNC(+E39*0.3*0.1,2)</f>
        <v>0.17</v>
      </c>
      <c r="F48" s="5">
        <f>E48*F35</f>
        <v>0.51</v>
      </c>
      <c r="G48" s="1">
        <v>465.54</v>
      </c>
      <c r="H48" s="99">
        <f>C14*G48+G48</f>
        <v>465.54</v>
      </c>
      <c r="I48" s="99">
        <f t="shared" si="1"/>
        <v>237.42540000000002</v>
      </c>
      <c r="J48" s="69"/>
      <c r="K48" s="65"/>
      <c r="L48" s="65"/>
      <c r="M48" s="68"/>
    </row>
    <row r="49" spans="1:13" ht="23.25" hidden="1" customHeight="1" x14ac:dyDescent="0.25">
      <c r="A49" s="97" t="s">
        <v>47</v>
      </c>
      <c r="B49" s="3" t="s">
        <v>32</v>
      </c>
      <c r="C49" s="98" t="s">
        <v>33</v>
      </c>
      <c r="D49" s="98" t="s">
        <v>10</v>
      </c>
      <c r="E49" s="5">
        <f>TRUNC(+E39*(0.3*0.1+0.3*0.14),2)</f>
        <v>0.41</v>
      </c>
      <c r="F49" s="5">
        <f>E49*F35</f>
        <v>1.23</v>
      </c>
      <c r="G49" s="1">
        <v>18.329999999999998</v>
      </c>
      <c r="H49" s="99">
        <f>C14*G49+G49</f>
        <v>18.329999999999998</v>
      </c>
      <c r="I49" s="99">
        <f t="shared" si="1"/>
        <v>22.545899999999996</v>
      </c>
      <c r="J49" s="69"/>
      <c r="K49" s="65"/>
      <c r="L49" s="65"/>
      <c r="M49" s="68"/>
    </row>
    <row r="50" spans="1:13" ht="38.25" customHeight="1" x14ac:dyDescent="0.25">
      <c r="A50" s="121" t="s">
        <v>48</v>
      </c>
      <c r="B50" s="122"/>
      <c r="C50" s="91" t="s">
        <v>81</v>
      </c>
      <c r="D50" s="91" t="s">
        <v>3</v>
      </c>
      <c r="E50" s="92"/>
      <c r="F50" s="93">
        <v>2</v>
      </c>
      <c r="G50" s="93"/>
      <c r="H50" s="94"/>
      <c r="I50" s="94">
        <f>SUM(I54:I64)</f>
        <v>4352.2488999999996</v>
      </c>
      <c r="J50" s="69"/>
      <c r="K50" s="64">
        <f>I50</f>
        <v>4352.2488999999996</v>
      </c>
      <c r="L50" s="65"/>
      <c r="M50" s="68"/>
    </row>
    <row r="51" spans="1:13" ht="17.25" hidden="1" customHeight="1" x14ac:dyDescent="0.25">
      <c r="A51" s="95"/>
      <c r="B51" s="96"/>
      <c r="C51" s="91" t="s">
        <v>35</v>
      </c>
      <c r="D51" s="91" t="s">
        <v>6</v>
      </c>
      <c r="E51" s="92">
        <v>2.6</v>
      </c>
      <c r="F51" s="1"/>
      <c r="G51" s="93"/>
      <c r="H51" s="94"/>
      <c r="I51" s="94" t="str">
        <f>IF(ISBLANK(B51)," ",E51*G51)</f>
        <v xml:space="preserve"> </v>
      </c>
      <c r="J51" s="69"/>
      <c r="K51" s="65"/>
      <c r="L51" s="65"/>
      <c r="M51" s="68"/>
    </row>
    <row r="52" spans="1:13" ht="19.5" hidden="1" customHeight="1" x14ac:dyDescent="0.25">
      <c r="A52" s="95"/>
      <c r="B52" s="96"/>
      <c r="C52" s="91" t="s">
        <v>36</v>
      </c>
      <c r="D52" s="91" t="s">
        <v>6</v>
      </c>
      <c r="E52" s="92">
        <v>5.7</v>
      </c>
      <c r="F52" s="1"/>
      <c r="G52" s="93"/>
      <c r="H52" s="94"/>
      <c r="I52" s="94" t="str">
        <f>IF(ISBLANK(B52)," ",E52*G52)</f>
        <v xml:space="preserve"> </v>
      </c>
      <c r="J52" s="69"/>
      <c r="K52" s="65"/>
      <c r="L52" s="65"/>
      <c r="M52" s="68"/>
    </row>
    <row r="53" spans="1:13" ht="17.25" hidden="1" customHeight="1" x14ac:dyDescent="0.25">
      <c r="A53" s="95"/>
      <c r="B53" s="96"/>
      <c r="C53" s="91" t="s">
        <v>7</v>
      </c>
      <c r="D53" s="91"/>
      <c r="E53" s="92"/>
      <c r="F53" s="93"/>
      <c r="G53" s="93"/>
      <c r="H53" s="94"/>
      <c r="I53" s="94"/>
      <c r="J53" s="69"/>
      <c r="K53" s="65"/>
      <c r="L53" s="65"/>
      <c r="M53" s="68"/>
    </row>
    <row r="54" spans="1:13" ht="23.25" hidden="1" customHeight="1" x14ac:dyDescent="0.25">
      <c r="A54" s="97" t="s">
        <v>50</v>
      </c>
      <c r="B54" s="3" t="s">
        <v>8</v>
      </c>
      <c r="C54" s="98" t="s">
        <v>9</v>
      </c>
      <c r="D54" s="98" t="s">
        <v>10</v>
      </c>
      <c r="E54" s="5">
        <f>TRUNC(+E52,2)</f>
        <v>5.7</v>
      </c>
      <c r="F54" s="5">
        <f>E54*F50</f>
        <v>11.4</v>
      </c>
      <c r="G54" s="1">
        <v>6.7</v>
      </c>
      <c r="H54" s="99">
        <f>C14*G54+G54</f>
        <v>6.7</v>
      </c>
      <c r="I54" s="99">
        <f t="shared" ref="I54:I64" si="2">F54*H54</f>
        <v>76.38000000000001</v>
      </c>
      <c r="J54" s="69"/>
      <c r="K54" s="65"/>
      <c r="L54" s="65"/>
      <c r="M54" s="68"/>
    </row>
    <row r="55" spans="1:13" ht="23.25" hidden="1" customHeight="1" x14ac:dyDescent="0.25">
      <c r="A55" s="97" t="s">
        <v>51</v>
      </c>
      <c r="B55" s="3" t="s">
        <v>11</v>
      </c>
      <c r="C55" s="98" t="s">
        <v>12</v>
      </c>
      <c r="D55" s="98" t="s">
        <v>13</v>
      </c>
      <c r="E55" s="5">
        <f>TRUNC(+E54*0.3*0.1,2)</f>
        <v>0.17</v>
      </c>
      <c r="F55" s="5">
        <f>E55*F50</f>
        <v>0.34</v>
      </c>
      <c r="G55" s="1">
        <v>184.25</v>
      </c>
      <c r="H55" s="99">
        <f>C14*G55+G55</f>
        <v>184.25</v>
      </c>
      <c r="I55" s="99">
        <f t="shared" si="2"/>
        <v>62.645000000000003</v>
      </c>
      <c r="J55" s="69"/>
      <c r="K55" s="65"/>
      <c r="L55" s="65"/>
      <c r="M55" s="68"/>
    </row>
    <row r="56" spans="1:13" ht="23.25" hidden="1" customHeight="1" x14ac:dyDescent="0.25">
      <c r="A56" s="97" t="s">
        <v>52</v>
      </c>
      <c r="B56" s="3" t="s">
        <v>14</v>
      </c>
      <c r="C56" s="98" t="s">
        <v>15</v>
      </c>
      <c r="D56" s="98" t="s">
        <v>13</v>
      </c>
      <c r="E56" s="5">
        <f>E51*E52*0.15</f>
        <v>2.2229999999999999</v>
      </c>
      <c r="F56" s="5">
        <f>E56*F50</f>
        <v>4.4459999999999997</v>
      </c>
      <c r="G56" s="1">
        <v>50.25</v>
      </c>
      <c r="H56" s="99">
        <f>C14*G56+G56</f>
        <v>50.25</v>
      </c>
      <c r="I56" s="99">
        <f t="shared" si="2"/>
        <v>223.41149999999999</v>
      </c>
      <c r="J56" s="69"/>
      <c r="K56" s="65"/>
      <c r="L56" s="65"/>
      <c r="M56" s="68"/>
    </row>
    <row r="57" spans="1:13" ht="23.25" hidden="1" customHeight="1" x14ac:dyDescent="0.25">
      <c r="A57" s="97" t="s">
        <v>53</v>
      </c>
      <c r="B57" s="3" t="s">
        <v>16</v>
      </c>
      <c r="C57" s="98" t="s">
        <v>17</v>
      </c>
      <c r="D57" s="98" t="s">
        <v>13</v>
      </c>
      <c r="E57" s="5">
        <f>TRUNC((+E56*1.3)+(E55+E54*0.15*0.46)*1.2,2)</f>
        <v>3.56</v>
      </c>
      <c r="F57" s="5">
        <f>E57*F50</f>
        <v>7.12</v>
      </c>
      <c r="G57" s="1">
        <v>88.24</v>
      </c>
      <c r="H57" s="99">
        <f>C14*G57+G57</f>
        <v>88.24</v>
      </c>
      <c r="I57" s="99">
        <f t="shared" si="2"/>
        <v>628.26879999999994</v>
      </c>
      <c r="J57" s="69"/>
      <c r="K57" s="65"/>
      <c r="L57" s="65"/>
      <c r="M57" s="68"/>
    </row>
    <row r="58" spans="1:13" ht="23.25" hidden="1" customHeight="1" x14ac:dyDescent="0.25">
      <c r="A58" s="97" t="s">
        <v>54</v>
      </c>
      <c r="B58" s="3" t="s">
        <v>18</v>
      </c>
      <c r="C58" s="98" t="s">
        <v>19</v>
      </c>
      <c r="D58" s="98" t="s">
        <v>13</v>
      </c>
      <c r="E58" s="5">
        <f>TRUNC(+E52*E51*0.03,2)</f>
        <v>0.44</v>
      </c>
      <c r="F58" s="5">
        <f>E58*F50</f>
        <v>0.88</v>
      </c>
      <c r="G58" s="1">
        <v>139.27000000000001</v>
      </c>
      <c r="H58" s="99">
        <f>C14*G58+G58</f>
        <v>139.27000000000001</v>
      </c>
      <c r="I58" s="99">
        <f t="shared" si="2"/>
        <v>122.55760000000001</v>
      </c>
      <c r="J58" s="69"/>
      <c r="K58" s="65"/>
      <c r="L58" s="65"/>
      <c r="M58" s="68"/>
    </row>
    <row r="59" spans="1:13" ht="23.25" hidden="1" customHeight="1" x14ac:dyDescent="0.25">
      <c r="A59" s="97" t="s">
        <v>55</v>
      </c>
      <c r="B59" s="3" t="s">
        <v>20</v>
      </c>
      <c r="C59" s="98" t="s">
        <v>21</v>
      </c>
      <c r="D59" s="98" t="s">
        <v>22</v>
      </c>
      <c r="E59" s="5">
        <f>TRUNC(0.97*E52*E51,2)</f>
        <v>14.37</v>
      </c>
      <c r="F59" s="5">
        <f>E59*F50</f>
        <v>28.74</v>
      </c>
      <c r="G59" s="1">
        <v>13.86</v>
      </c>
      <c r="H59" s="99">
        <f>C14*G59+G59</f>
        <v>13.86</v>
      </c>
      <c r="I59" s="99">
        <f t="shared" si="2"/>
        <v>398.33639999999997</v>
      </c>
      <c r="J59" s="69"/>
      <c r="K59" s="65"/>
      <c r="L59" s="65"/>
      <c r="M59" s="68"/>
    </row>
    <row r="60" spans="1:13" ht="23.25" hidden="1" customHeight="1" x14ac:dyDescent="0.25">
      <c r="A60" s="97" t="s">
        <v>93</v>
      </c>
      <c r="B60" s="3" t="s">
        <v>23</v>
      </c>
      <c r="C60" s="98" t="s">
        <v>24</v>
      </c>
      <c r="D60" s="98" t="s">
        <v>13</v>
      </c>
      <c r="E60" s="5">
        <f>TRUNC(++E52*E51*0.05,2)</f>
        <v>0.74</v>
      </c>
      <c r="F60" s="5">
        <f>E60*F50</f>
        <v>1.48</v>
      </c>
      <c r="G60" s="1">
        <v>816.06</v>
      </c>
      <c r="H60" s="99">
        <f>C14*G60+G60</f>
        <v>816.06</v>
      </c>
      <c r="I60" s="99">
        <f t="shared" si="2"/>
        <v>1207.7687999999998</v>
      </c>
      <c r="J60" s="69"/>
      <c r="K60" s="65"/>
      <c r="L60" s="65"/>
      <c r="M60" s="68"/>
    </row>
    <row r="61" spans="1:13" ht="23.25" hidden="1" customHeight="1" x14ac:dyDescent="0.25">
      <c r="A61" s="97" t="s">
        <v>94</v>
      </c>
      <c r="B61" s="3" t="s">
        <v>25</v>
      </c>
      <c r="C61" s="98" t="s">
        <v>26</v>
      </c>
      <c r="D61" s="98" t="s">
        <v>27</v>
      </c>
      <c r="E61" s="5">
        <f>TRUNC(E51*E52-E62,2)</f>
        <v>12.75</v>
      </c>
      <c r="F61" s="5">
        <f>E61*F50</f>
        <v>25.5</v>
      </c>
      <c r="G61" s="1">
        <v>28.43</v>
      </c>
      <c r="H61" s="99">
        <f>C14*G61+G61</f>
        <v>28.43</v>
      </c>
      <c r="I61" s="99">
        <f t="shared" si="2"/>
        <v>724.96500000000003</v>
      </c>
      <c r="J61" s="69"/>
      <c r="K61" s="65"/>
      <c r="L61" s="65"/>
      <c r="M61" s="68"/>
    </row>
    <row r="62" spans="1:13" ht="31.5" hidden="1" customHeight="1" x14ac:dyDescent="0.25">
      <c r="A62" s="97" t="s">
        <v>95</v>
      </c>
      <c r="B62" s="3" t="s">
        <v>28</v>
      </c>
      <c r="C62" s="98" t="s">
        <v>29</v>
      </c>
      <c r="D62" s="98" t="s">
        <v>27</v>
      </c>
      <c r="E62" s="5">
        <f>23*0.3*0.3</f>
        <v>2.0699999999999998</v>
      </c>
      <c r="F62" s="5">
        <f>E62*F50</f>
        <v>4.1399999999999997</v>
      </c>
      <c r="G62" s="1">
        <v>177.44</v>
      </c>
      <c r="H62" s="99">
        <f>C14*G62+G62</f>
        <v>177.44</v>
      </c>
      <c r="I62" s="99">
        <f t="shared" si="2"/>
        <v>734.60159999999996</v>
      </c>
      <c r="J62" s="69"/>
      <c r="K62" s="65"/>
      <c r="L62" s="65"/>
      <c r="M62" s="68"/>
    </row>
    <row r="63" spans="1:13" ht="33" hidden="1" customHeight="1" x14ac:dyDescent="0.25">
      <c r="A63" s="97" t="s">
        <v>96</v>
      </c>
      <c r="B63" s="3" t="s">
        <v>30</v>
      </c>
      <c r="C63" s="98" t="s">
        <v>31</v>
      </c>
      <c r="D63" s="98" t="s">
        <v>13</v>
      </c>
      <c r="E63" s="5">
        <f>TRUNC(+E54*0.3*0.1,2)</f>
        <v>0.17</v>
      </c>
      <c r="F63" s="5">
        <f>E63*F50</f>
        <v>0.34</v>
      </c>
      <c r="G63" s="1">
        <v>465.54</v>
      </c>
      <c r="H63" s="99">
        <f>C14*G63+G63</f>
        <v>465.54</v>
      </c>
      <c r="I63" s="99">
        <f t="shared" si="2"/>
        <v>158.28360000000001</v>
      </c>
      <c r="J63" s="69"/>
      <c r="K63" s="65"/>
      <c r="L63" s="65"/>
      <c r="M63" s="68"/>
    </row>
    <row r="64" spans="1:13" ht="15.75" hidden="1" customHeight="1" x14ac:dyDescent="0.25">
      <c r="A64" s="97" t="s">
        <v>97</v>
      </c>
      <c r="B64" s="3" t="s">
        <v>32</v>
      </c>
      <c r="C64" s="98" t="s">
        <v>33</v>
      </c>
      <c r="D64" s="98" t="s">
        <v>10</v>
      </c>
      <c r="E64" s="5">
        <f>TRUNC(+E54*(0.3*0.1+0.3*0.14),2)</f>
        <v>0.41</v>
      </c>
      <c r="F64" s="5">
        <f>E64*F50</f>
        <v>0.82</v>
      </c>
      <c r="G64" s="1">
        <v>18.329999999999998</v>
      </c>
      <c r="H64" s="99">
        <f>C14*G64+G64</f>
        <v>18.329999999999998</v>
      </c>
      <c r="I64" s="99">
        <f t="shared" si="2"/>
        <v>15.030599999999998</v>
      </c>
      <c r="J64" s="69"/>
      <c r="K64" s="65"/>
      <c r="L64" s="65"/>
      <c r="M64" s="68"/>
    </row>
    <row r="65" spans="1:13" ht="40.5" customHeight="1" x14ac:dyDescent="0.25">
      <c r="A65" s="121" t="s">
        <v>56</v>
      </c>
      <c r="B65" s="122"/>
      <c r="C65" s="91" t="s">
        <v>82</v>
      </c>
      <c r="D65" s="91" t="s">
        <v>3</v>
      </c>
      <c r="E65" s="92"/>
      <c r="F65" s="93">
        <v>14</v>
      </c>
      <c r="G65" s="93"/>
      <c r="H65" s="94"/>
      <c r="I65" s="94">
        <f>SUM(I69:I79)</f>
        <v>24383.503199999996</v>
      </c>
      <c r="J65" s="69"/>
      <c r="K65" s="64">
        <f>I65</f>
        <v>24383.503199999996</v>
      </c>
      <c r="L65" s="65"/>
      <c r="M65" s="68"/>
    </row>
    <row r="66" spans="1:13" ht="17.25" hidden="1" customHeight="1" x14ac:dyDescent="0.25">
      <c r="A66" s="95"/>
      <c r="B66" s="96"/>
      <c r="C66" s="91" t="s">
        <v>35</v>
      </c>
      <c r="D66" s="91" t="s">
        <v>6</v>
      </c>
      <c r="E66" s="92">
        <v>2</v>
      </c>
      <c r="F66" s="1"/>
      <c r="G66" s="93"/>
      <c r="H66" s="94"/>
      <c r="I66" s="94" t="str">
        <f>IF(ISBLANK(B66)," ",E66*G66)</f>
        <v xml:space="preserve"> </v>
      </c>
      <c r="J66" s="69"/>
      <c r="K66" s="65"/>
      <c r="L66" s="65"/>
      <c r="M66" s="68"/>
    </row>
    <row r="67" spans="1:13" ht="17.25" hidden="1" customHeight="1" x14ac:dyDescent="0.25">
      <c r="A67" s="95"/>
      <c r="B67" s="96"/>
      <c r="C67" s="91" t="s">
        <v>36</v>
      </c>
      <c r="D67" s="91" t="s">
        <v>6</v>
      </c>
      <c r="E67" s="92">
        <v>5.7</v>
      </c>
      <c r="F67" s="1"/>
      <c r="G67" s="93"/>
      <c r="H67" s="94"/>
      <c r="I67" s="94" t="str">
        <f>IF(ISBLANK(B67)," ",E67*G67)</f>
        <v xml:space="preserve"> </v>
      </c>
      <c r="J67" s="69"/>
      <c r="K67" s="65"/>
      <c r="L67" s="65"/>
      <c r="M67" s="68"/>
    </row>
    <row r="68" spans="1:13" ht="17.25" hidden="1" customHeight="1" x14ac:dyDescent="0.25">
      <c r="A68" s="95"/>
      <c r="B68" s="96"/>
      <c r="C68" s="91" t="s">
        <v>7</v>
      </c>
      <c r="D68" s="91"/>
      <c r="E68" s="92"/>
      <c r="F68" s="93"/>
      <c r="G68" s="93"/>
      <c r="H68" s="94"/>
      <c r="I68" s="94"/>
      <c r="J68" s="69"/>
      <c r="K68" s="65"/>
      <c r="L68" s="65"/>
      <c r="M68" s="68"/>
    </row>
    <row r="69" spans="1:13" ht="23.25" hidden="1" customHeight="1" x14ac:dyDescent="0.25">
      <c r="A69" s="97" t="s">
        <v>58</v>
      </c>
      <c r="B69" s="3" t="s">
        <v>8</v>
      </c>
      <c r="C69" s="98" t="s">
        <v>9</v>
      </c>
      <c r="D69" s="98" t="s">
        <v>10</v>
      </c>
      <c r="E69" s="5">
        <f>TRUNC(+E67,2)</f>
        <v>5.7</v>
      </c>
      <c r="F69" s="5">
        <f>E69*F65</f>
        <v>79.8</v>
      </c>
      <c r="G69" s="1">
        <v>6.7</v>
      </c>
      <c r="H69" s="99">
        <f>C14*G69+G69</f>
        <v>6.7</v>
      </c>
      <c r="I69" s="99">
        <f t="shared" ref="I69:I79" si="3">F69*H69</f>
        <v>534.66</v>
      </c>
      <c r="J69" s="69"/>
      <c r="K69" s="65"/>
      <c r="L69" s="65"/>
      <c r="M69" s="68"/>
    </row>
    <row r="70" spans="1:13" ht="23.25" hidden="1" customHeight="1" x14ac:dyDescent="0.25">
      <c r="A70" s="97" t="s">
        <v>98</v>
      </c>
      <c r="B70" s="3" t="s">
        <v>11</v>
      </c>
      <c r="C70" s="98" t="s">
        <v>12</v>
      </c>
      <c r="D70" s="98" t="s">
        <v>13</v>
      </c>
      <c r="E70" s="5">
        <f>TRUNC(+E69*0.3*0.1,2)</f>
        <v>0.17</v>
      </c>
      <c r="F70" s="5">
        <f>E70*F65</f>
        <v>2.3800000000000003</v>
      </c>
      <c r="G70" s="1">
        <v>184.25</v>
      </c>
      <c r="H70" s="99">
        <f>C14*G70+G70</f>
        <v>184.25</v>
      </c>
      <c r="I70" s="99">
        <f t="shared" si="3"/>
        <v>438.51500000000004</v>
      </c>
      <c r="J70" s="69"/>
      <c r="K70" s="65"/>
      <c r="L70" s="65"/>
      <c r="M70" s="68"/>
    </row>
    <row r="71" spans="1:13" ht="23.25" hidden="1" customHeight="1" x14ac:dyDescent="0.25">
      <c r="A71" s="97" t="s">
        <v>99</v>
      </c>
      <c r="B71" s="3" t="s">
        <v>14</v>
      </c>
      <c r="C71" s="98" t="s">
        <v>15</v>
      </c>
      <c r="D71" s="98" t="s">
        <v>13</v>
      </c>
      <c r="E71" s="5">
        <f>E66*E67*0.15</f>
        <v>1.71</v>
      </c>
      <c r="F71" s="5">
        <f>E71*F65</f>
        <v>23.939999999999998</v>
      </c>
      <c r="G71" s="1">
        <v>50.25</v>
      </c>
      <c r="H71" s="99">
        <f>C14*G71+G71</f>
        <v>50.25</v>
      </c>
      <c r="I71" s="99">
        <f t="shared" si="3"/>
        <v>1202.9849999999999</v>
      </c>
      <c r="J71" s="69"/>
      <c r="K71" s="65"/>
      <c r="L71" s="65"/>
      <c r="M71" s="68"/>
    </row>
    <row r="72" spans="1:13" ht="23.25" hidden="1" customHeight="1" x14ac:dyDescent="0.25">
      <c r="A72" s="97" t="s">
        <v>100</v>
      </c>
      <c r="B72" s="3" t="s">
        <v>16</v>
      </c>
      <c r="C72" s="98" t="s">
        <v>17</v>
      </c>
      <c r="D72" s="98" t="s">
        <v>13</v>
      </c>
      <c r="E72" s="5">
        <f>TRUNC((+E71*1.3)+(E70+E69*0.15*0.46)*1.2,2)</f>
        <v>2.89</v>
      </c>
      <c r="F72" s="5">
        <f>E72*F65</f>
        <v>40.46</v>
      </c>
      <c r="G72" s="1">
        <v>88.24</v>
      </c>
      <c r="H72" s="99">
        <f>C14*G72+G72</f>
        <v>88.24</v>
      </c>
      <c r="I72" s="99">
        <f t="shared" si="3"/>
        <v>3570.1904</v>
      </c>
      <c r="J72" s="69"/>
      <c r="K72" s="65"/>
      <c r="L72" s="65"/>
      <c r="M72" s="68"/>
    </row>
    <row r="73" spans="1:13" ht="23.25" hidden="1" customHeight="1" x14ac:dyDescent="0.25">
      <c r="A73" s="97" t="s">
        <v>101</v>
      </c>
      <c r="B73" s="3" t="s">
        <v>18</v>
      </c>
      <c r="C73" s="98" t="s">
        <v>19</v>
      </c>
      <c r="D73" s="98" t="s">
        <v>13</v>
      </c>
      <c r="E73" s="5">
        <f>TRUNC(+E67*E66*0.03,2)</f>
        <v>0.34</v>
      </c>
      <c r="F73" s="5">
        <f>E73*F65</f>
        <v>4.7600000000000007</v>
      </c>
      <c r="G73" s="1">
        <v>139.27000000000001</v>
      </c>
      <c r="H73" s="99">
        <f>C14*G73+G73</f>
        <v>139.27000000000001</v>
      </c>
      <c r="I73" s="99">
        <f t="shared" si="3"/>
        <v>662.92520000000013</v>
      </c>
      <c r="J73" s="69"/>
      <c r="K73" s="65"/>
      <c r="L73" s="65"/>
      <c r="M73" s="68"/>
    </row>
    <row r="74" spans="1:13" ht="23.25" hidden="1" customHeight="1" x14ac:dyDescent="0.25">
      <c r="A74" s="97" t="s">
        <v>102</v>
      </c>
      <c r="B74" s="3" t="s">
        <v>20</v>
      </c>
      <c r="C74" s="98" t="s">
        <v>21</v>
      </c>
      <c r="D74" s="98" t="s">
        <v>22</v>
      </c>
      <c r="E74" s="5">
        <f>TRUNC(0.97*E67*E66,2)</f>
        <v>11.05</v>
      </c>
      <c r="F74" s="5">
        <f>E74*F65</f>
        <v>154.70000000000002</v>
      </c>
      <c r="G74" s="1">
        <v>13.86</v>
      </c>
      <c r="H74" s="99">
        <f>C14*G74+G74</f>
        <v>13.86</v>
      </c>
      <c r="I74" s="99">
        <f t="shared" si="3"/>
        <v>2144.1420000000003</v>
      </c>
      <c r="J74" s="69"/>
      <c r="K74" s="65"/>
      <c r="L74" s="65"/>
      <c r="M74" s="68"/>
    </row>
    <row r="75" spans="1:13" ht="23.25" hidden="1" customHeight="1" x14ac:dyDescent="0.25">
      <c r="A75" s="97" t="s">
        <v>103</v>
      </c>
      <c r="B75" s="3" t="s">
        <v>23</v>
      </c>
      <c r="C75" s="98" t="s">
        <v>24</v>
      </c>
      <c r="D75" s="98" t="s">
        <v>13</v>
      </c>
      <c r="E75" s="5">
        <f>TRUNC(++E67*E66*0.05,2)</f>
        <v>0.56999999999999995</v>
      </c>
      <c r="F75" s="5">
        <f>E75*F65</f>
        <v>7.9799999999999995</v>
      </c>
      <c r="G75" s="1">
        <v>816.06</v>
      </c>
      <c r="H75" s="99">
        <f>C14*G75+G75</f>
        <v>816.06</v>
      </c>
      <c r="I75" s="99">
        <f t="shared" si="3"/>
        <v>6512.1587999999992</v>
      </c>
      <c r="J75" s="69"/>
      <c r="K75" s="65"/>
      <c r="L75" s="65"/>
      <c r="M75" s="68"/>
    </row>
    <row r="76" spans="1:13" ht="23.25" hidden="1" customHeight="1" x14ac:dyDescent="0.25">
      <c r="A76" s="97" t="s">
        <v>104</v>
      </c>
      <c r="B76" s="3" t="s">
        <v>25</v>
      </c>
      <c r="C76" s="98" t="s">
        <v>26</v>
      </c>
      <c r="D76" s="98" t="s">
        <v>27</v>
      </c>
      <c r="E76" s="5">
        <f>TRUNC(E66*E67-E77,2)</f>
        <v>9.69</v>
      </c>
      <c r="F76" s="5">
        <f>E76*F65</f>
        <v>135.66</v>
      </c>
      <c r="G76" s="1">
        <v>28.43</v>
      </c>
      <c r="H76" s="99">
        <f>C14*G76+G76</f>
        <v>28.43</v>
      </c>
      <c r="I76" s="99">
        <f t="shared" si="3"/>
        <v>3856.8137999999999</v>
      </c>
      <c r="J76" s="69"/>
      <c r="K76" s="65"/>
      <c r="L76" s="65"/>
      <c r="M76" s="68"/>
    </row>
    <row r="77" spans="1:13" ht="23.25" hidden="1" customHeight="1" x14ac:dyDescent="0.25">
      <c r="A77" s="97" t="s">
        <v>105</v>
      </c>
      <c r="B77" s="3" t="s">
        <v>28</v>
      </c>
      <c r="C77" s="98" t="s">
        <v>29</v>
      </c>
      <c r="D77" s="98" t="s">
        <v>27</v>
      </c>
      <c r="E77" s="5">
        <f>19*0.3*0.3</f>
        <v>1.71</v>
      </c>
      <c r="F77" s="5">
        <f>E77*F65</f>
        <v>23.939999999999998</v>
      </c>
      <c r="G77" s="1">
        <v>177.44</v>
      </c>
      <c r="H77" s="99">
        <f>C14*G77+G77</f>
        <v>177.44</v>
      </c>
      <c r="I77" s="99">
        <f t="shared" si="3"/>
        <v>4247.9135999999999</v>
      </c>
      <c r="J77" s="69"/>
      <c r="K77" s="65"/>
      <c r="L77" s="65"/>
      <c r="M77" s="68"/>
    </row>
    <row r="78" spans="1:13" ht="23.25" hidden="1" customHeight="1" x14ac:dyDescent="0.25">
      <c r="A78" s="97" t="s">
        <v>106</v>
      </c>
      <c r="B78" s="3" t="s">
        <v>30</v>
      </c>
      <c r="C78" s="98" t="s">
        <v>31</v>
      </c>
      <c r="D78" s="98" t="s">
        <v>13</v>
      </c>
      <c r="E78" s="5">
        <f>TRUNC(+E69*0.3*0.1,2)</f>
        <v>0.17</v>
      </c>
      <c r="F78" s="5">
        <f>E78*F65</f>
        <v>2.3800000000000003</v>
      </c>
      <c r="G78" s="1">
        <v>465.54</v>
      </c>
      <c r="H78" s="99">
        <f>C14*G78+G78</f>
        <v>465.54</v>
      </c>
      <c r="I78" s="99">
        <f t="shared" si="3"/>
        <v>1107.9852000000003</v>
      </c>
      <c r="J78" s="69"/>
      <c r="K78" s="65"/>
      <c r="L78" s="65"/>
      <c r="M78" s="68"/>
    </row>
    <row r="79" spans="1:13" ht="9.75" hidden="1" customHeight="1" x14ac:dyDescent="0.25">
      <c r="A79" s="97" t="s">
        <v>107</v>
      </c>
      <c r="B79" s="3" t="s">
        <v>32</v>
      </c>
      <c r="C79" s="98" t="s">
        <v>33</v>
      </c>
      <c r="D79" s="98" t="s">
        <v>10</v>
      </c>
      <c r="E79" s="5">
        <f>TRUNC(+E69*(0.3*0.1+0.3*0.14),2)</f>
        <v>0.41</v>
      </c>
      <c r="F79" s="5">
        <f>E79*F65</f>
        <v>5.7399999999999993</v>
      </c>
      <c r="G79" s="1">
        <v>18.329999999999998</v>
      </c>
      <c r="H79" s="99">
        <f>C14*G79+G79</f>
        <v>18.329999999999998</v>
      </c>
      <c r="I79" s="99">
        <f t="shared" si="3"/>
        <v>105.21419999999998</v>
      </c>
      <c r="J79" s="69"/>
      <c r="K79" s="65"/>
      <c r="L79" s="65"/>
      <c r="M79" s="68"/>
    </row>
    <row r="80" spans="1:13" ht="38.25" customHeight="1" x14ac:dyDescent="0.25">
      <c r="A80" s="121" t="s">
        <v>59</v>
      </c>
      <c r="B80" s="122"/>
      <c r="C80" s="91" t="s">
        <v>92</v>
      </c>
      <c r="D80" s="91" t="s">
        <v>3</v>
      </c>
      <c r="E80" s="92"/>
      <c r="F80" s="93">
        <v>1</v>
      </c>
      <c r="G80" s="93"/>
      <c r="H80" s="94"/>
      <c r="I80" s="94">
        <f>SUM(I84:I94)</f>
        <v>1676.580725</v>
      </c>
      <c r="J80" s="69"/>
      <c r="K80" s="65"/>
      <c r="L80" s="64">
        <f>I80</f>
        <v>1676.580725</v>
      </c>
      <c r="M80" s="68"/>
    </row>
    <row r="81" spans="1:13" ht="18.75" hidden="1" customHeight="1" x14ac:dyDescent="0.25">
      <c r="A81" s="95"/>
      <c r="B81" s="96"/>
      <c r="C81" s="91" t="s">
        <v>35</v>
      </c>
      <c r="D81" s="91" t="s">
        <v>6</v>
      </c>
      <c r="E81" s="92">
        <v>1.9</v>
      </c>
      <c r="F81" s="1"/>
      <c r="G81" s="93"/>
      <c r="H81" s="94"/>
      <c r="I81" s="94" t="str">
        <f>IF(ISBLANK(B81)," ",E81*G81)</f>
        <v xml:space="preserve"> </v>
      </c>
      <c r="J81" s="69"/>
      <c r="K81" s="65"/>
      <c r="L81" s="65"/>
      <c r="M81" s="68"/>
    </row>
    <row r="82" spans="1:13" ht="18" hidden="1" customHeight="1" x14ac:dyDescent="0.25">
      <c r="A82" s="95"/>
      <c r="B82" s="96"/>
      <c r="C82" s="91" t="s">
        <v>36</v>
      </c>
      <c r="D82" s="91" t="s">
        <v>6</v>
      </c>
      <c r="E82" s="92">
        <v>5.7</v>
      </c>
      <c r="F82" s="1"/>
      <c r="G82" s="93"/>
      <c r="H82" s="94"/>
      <c r="I82" s="94" t="str">
        <f>IF(ISBLANK(B82)," ",E82*G82)</f>
        <v xml:space="preserve"> </v>
      </c>
      <c r="J82" s="69"/>
      <c r="K82" s="65"/>
      <c r="L82" s="65"/>
      <c r="M82" s="68"/>
    </row>
    <row r="83" spans="1:13" ht="18" hidden="1" customHeight="1" x14ac:dyDescent="0.25">
      <c r="A83" s="95"/>
      <c r="B83" s="96"/>
      <c r="C83" s="91" t="s">
        <v>7</v>
      </c>
      <c r="D83" s="91"/>
      <c r="E83" s="92"/>
      <c r="F83" s="93"/>
      <c r="G83" s="93"/>
      <c r="H83" s="94"/>
      <c r="I83" s="94"/>
      <c r="J83" s="69"/>
      <c r="K83" s="65"/>
      <c r="L83" s="65"/>
      <c r="M83" s="68"/>
    </row>
    <row r="84" spans="1:13" ht="23.25" hidden="1" customHeight="1" x14ac:dyDescent="0.25">
      <c r="A84" s="97" t="s">
        <v>60</v>
      </c>
      <c r="B84" s="3" t="s">
        <v>8</v>
      </c>
      <c r="C84" s="98" t="s">
        <v>9</v>
      </c>
      <c r="D84" s="98" t="s">
        <v>10</v>
      </c>
      <c r="E84" s="5">
        <f>TRUNC(+E82,2)</f>
        <v>5.7</v>
      </c>
      <c r="F84" s="5">
        <f>E84*F80</f>
        <v>5.7</v>
      </c>
      <c r="G84" s="1">
        <v>6.7</v>
      </c>
      <c r="H84" s="99">
        <f>C14*G84+G84</f>
        <v>6.7</v>
      </c>
      <c r="I84" s="99">
        <f t="shared" ref="I84:I94" si="4">F84*H84</f>
        <v>38.190000000000005</v>
      </c>
      <c r="J84" s="69"/>
      <c r="K84" s="65"/>
      <c r="L84" s="65"/>
      <c r="M84" s="68"/>
    </row>
    <row r="85" spans="1:13" ht="23.25" hidden="1" customHeight="1" x14ac:dyDescent="0.25">
      <c r="A85" s="97" t="s">
        <v>61</v>
      </c>
      <c r="B85" s="3" t="s">
        <v>11</v>
      </c>
      <c r="C85" s="98" t="s">
        <v>12</v>
      </c>
      <c r="D85" s="98" t="s">
        <v>13</v>
      </c>
      <c r="E85" s="5">
        <f>TRUNC(+E84*0.3*0.1,2)</f>
        <v>0.17</v>
      </c>
      <c r="F85" s="5">
        <f>E85*F80</f>
        <v>0.17</v>
      </c>
      <c r="G85" s="1">
        <v>184.25</v>
      </c>
      <c r="H85" s="99">
        <f>C14*G85+G85</f>
        <v>184.25</v>
      </c>
      <c r="I85" s="99">
        <f t="shared" si="4"/>
        <v>31.322500000000002</v>
      </c>
      <c r="J85" s="69"/>
      <c r="K85" s="65"/>
      <c r="L85" s="65"/>
      <c r="M85" s="68"/>
    </row>
    <row r="86" spans="1:13" ht="23.25" hidden="1" customHeight="1" x14ac:dyDescent="0.25">
      <c r="A86" s="97" t="s">
        <v>62</v>
      </c>
      <c r="B86" s="3" t="s">
        <v>14</v>
      </c>
      <c r="C86" s="98" t="s">
        <v>15</v>
      </c>
      <c r="D86" s="98" t="s">
        <v>13</v>
      </c>
      <c r="E86" s="5">
        <f>E81*E82*0.15</f>
        <v>1.6245000000000001</v>
      </c>
      <c r="F86" s="5">
        <f>E86*F80</f>
        <v>1.6245000000000001</v>
      </c>
      <c r="G86" s="1">
        <v>50.25</v>
      </c>
      <c r="H86" s="99">
        <f>C14*G86+G86</f>
        <v>50.25</v>
      </c>
      <c r="I86" s="99">
        <f t="shared" si="4"/>
        <v>81.631124999999997</v>
      </c>
      <c r="J86" s="69"/>
      <c r="K86" s="65"/>
      <c r="L86" s="65"/>
      <c r="M86" s="68"/>
    </row>
    <row r="87" spans="1:13" ht="23.25" hidden="1" customHeight="1" x14ac:dyDescent="0.25">
      <c r="A87" s="97" t="s">
        <v>65</v>
      </c>
      <c r="B87" s="3" t="s">
        <v>16</v>
      </c>
      <c r="C87" s="98" t="s">
        <v>17</v>
      </c>
      <c r="D87" s="98" t="s">
        <v>13</v>
      </c>
      <c r="E87" s="5">
        <f>TRUNC((+E86*1.3)+(E85+E84*0.15*0.46)*1.2,2)</f>
        <v>2.78</v>
      </c>
      <c r="F87" s="5">
        <f>E87*F80</f>
        <v>2.78</v>
      </c>
      <c r="G87" s="1">
        <v>88.24</v>
      </c>
      <c r="H87" s="99">
        <f>C14*G87+G87</f>
        <v>88.24</v>
      </c>
      <c r="I87" s="99">
        <f t="shared" si="4"/>
        <v>245.30719999999997</v>
      </c>
      <c r="J87" s="69"/>
      <c r="K87" s="65"/>
      <c r="L87" s="65"/>
      <c r="M87" s="68"/>
    </row>
    <row r="88" spans="1:13" ht="23.25" hidden="1" customHeight="1" x14ac:dyDescent="0.25">
      <c r="A88" s="97" t="s">
        <v>108</v>
      </c>
      <c r="B88" s="3" t="s">
        <v>18</v>
      </c>
      <c r="C88" s="98" t="s">
        <v>19</v>
      </c>
      <c r="D88" s="98" t="s">
        <v>13</v>
      </c>
      <c r="E88" s="5">
        <f>TRUNC(+E82*E81*0.03,2)</f>
        <v>0.32</v>
      </c>
      <c r="F88" s="5">
        <f>E88*F80</f>
        <v>0.32</v>
      </c>
      <c r="G88" s="1">
        <v>139.27000000000001</v>
      </c>
      <c r="H88" s="99">
        <f>C14*G88+G88</f>
        <v>139.27000000000001</v>
      </c>
      <c r="I88" s="99">
        <f t="shared" si="4"/>
        <v>44.566400000000002</v>
      </c>
      <c r="J88" s="69"/>
      <c r="K88" s="65"/>
      <c r="L88" s="65"/>
      <c r="M88" s="68"/>
    </row>
    <row r="89" spans="1:13" ht="23.25" hidden="1" customHeight="1" x14ac:dyDescent="0.25">
      <c r="A89" s="97" t="s">
        <v>109</v>
      </c>
      <c r="B89" s="3" t="s">
        <v>20</v>
      </c>
      <c r="C89" s="98" t="s">
        <v>21</v>
      </c>
      <c r="D89" s="98" t="s">
        <v>22</v>
      </c>
      <c r="E89" s="5">
        <f>TRUNC(0.97*E82*E81,2)</f>
        <v>10.5</v>
      </c>
      <c r="F89" s="5">
        <f>E89*F80</f>
        <v>10.5</v>
      </c>
      <c r="G89" s="1">
        <v>13.86</v>
      </c>
      <c r="H89" s="99">
        <f>C14*G89+G89</f>
        <v>13.86</v>
      </c>
      <c r="I89" s="99">
        <f t="shared" si="4"/>
        <v>145.53</v>
      </c>
      <c r="J89" s="69"/>
      <c r="K89" s="65"/>
      <c r="L89" s="65"/>
      <c r="M89" s="68"/>
    </row>
    <row r="90" spans="1:13" ht="23.25" hidden="1" customHeight="1" x14ac:dyDescent="0.25">
      <c r="A90" s="97" t="s">
        <v>110</v>
      </c>
      <c r="B90" s="3" t="s">
        <v>23</v>
      </c>
      <c r="C90" s="98" t="s">
        <v>24</v>
      </c>
      <c r="D90" s="98" t="s">
        <v>13</v>
      </c>
      <c r="E90" s="5">
        <f>TRUNC(++E82*E81*0.05,2)</f>
        <v>0.54</v>
      </c>
      <c r="F90" s="5">
        <f>E90*F80</f>
        <v>0.54</v>
      </c>
      <c r="G90" s="1">
        <v>816.06</v>
      </c>
      <c r="H90" s="99">
        <f>C14*G90+G90</f>
        <v>816.06</v>
      </c>
      <c r="I90" s="99">
        <f t="shared" si="4"/>
        <v>440.67239999999998</v>
      </c>
      <c r="J90" s="69"/>
      <c r="K90" s="65"/>
      <c r="L90" s="65"/>
      <c r="M90" s="68"/>
    </row>
    <row r="91" spans="1:13" ht="23.25" hidden="1" customHeight="1" x14ac:dyDescent="0.25">
      <c r="A91" s="97" t="s">
        <v>111</v>
      </c>
      <c r="B91" s="3" t="s">
        <v>25</v>
      </c>
      <c r="C91" s="98" t="s">
        <v>26</v>
      </c>
      <c r="D91" s="98" t="s">
        <v>27</v>
      </c>
      <c r="E91" s="5">
        <f>TRUNC(E81*E82-E92,2)</f>
        <v>9.1199999999999992</v>
      </c>
      <c r="F91" s="5">
        <f>E91*F80</f>
        <v>9.1199999999999992</v>
      </c>
      <c r="G91" s="1">
        <v>28.43</v>
      </c>
      <c r="H91" s="99">
        <f>C14*G91+G91</f>
        <v>28.43</v>
      </c>
      <c r="I91" s="99">
        <f t="shared" si="4"/>
        <v>259.28159999999997</v>
      </c>
      <c r="J91" s="69"/>
      <c r="K91" s="65"/>
      <c r="L91" s="65"/>
      <c r="M91" s="68"/>
    </row>
    <row r="92" spans="1:13" ht="23.25" hidden="1" customHeight="1" x14ac:dyDescent="0.25">
      <c r="A92" s="97" t="s">
        <v>112</v>
      </c>
      <c r="B92" s="3" t="s">
        <v>28</v>
      </c>
      <c r="C92" s="98" t="s">
        <v>29</v>
      </c>
      <c r="D92" s="98" t="s">
        <v>27</v>
      </c>
      <c r="E92" s="5">
        <f>19*0.3*0.3</f>
        <v>1.71</v>
      </c>
      <c r="F92" s="5">
        <f>E92*F80</f>
        <v>1.71</v>
      </c>
      <c r="G92" s="1">
        <v>177.44</v>
      </c>
      <c r="H92" s="99">
        <f>C14*G92+G92</f>
        <v>177.44</v>
      </c>
      <c r="I92" s="99">
        <f t="shared" si="4"/>
        <v>303.42239999999998</v>
      </c>
      <c r="J92" s="69"/>
      <c r="K92" s="65"/>
      <c r="L92" s="65"/>
      <c r="M92" s="68"/>
    </row>
    <row r="93" spans="1:13" ht="23.25" hidden="1" customHeight="1" x14ac:dyDescent="0.25">
      <c r="A93" s="97" t="s">
        <v>113</v>
      </c>
      <c r="B93" s="3" t="s">
        <v>30</v>
      </c>
      <c r="C93" s="98" t="s">
        <v>31</v>
      </c>
      <c r="D93" s="98" t="s">
        <v>13</v>
      </c>
      <c r="E93" s="5">
        <f>TRUNC(+E84*0.3*0.1,2)</f>
        <v>0.17</v>
      </c>
      <c r="F93" s="5">
        <f>E93*F80</f>
        <v>0.17</v>
      </c>
      <c r="G93" s="1">
        <v>465.54</v>
      </c>
      <c r="H93" s="99">
        <f>C14*G93+G93</f>
        <v>465.54</v>
      </c>
      <c r="I93" s="99">
        <f t="shared" si="4"/>
        <v>79.141800000000003</v>
      </c>
      <c r="J93" s="69"/>
      <c r="K93" s="65"/>
      <c r="L93" s="65"/>
      <c r="M93" s="68"/>
    </row>
    <row r="94" spans="1:13" ht="23.25" hidden="1" customHeight="1" x14ac:dyDescent="0.25">
      <c r="A94" s="97" t="s">
        <v>114</v>
      </c>
      <c r="B94" s="3" t="s">
        <v>32</v>
      </c>
      <c r="C94" s="98" t="s">
        <v>33</v>
      </c>
      <c r="D94" s="98" t="s">
        <v>10</v>
      </c>
      <c r="E94" s="5">
        <f>TRUNC(+E84*(0.3*0.1+0.3*0.14),2)</f>
        <v>0.41</v>
      </c>
      <c r="F94" s="5">
        <f>E94*F80</f>
        <v>0.41</v>
      </c>
      <c r="G94" s="1">
        <v>18.329999999999998</v>
      </c>
      <c r="H94" s="99">
        <f>C14*G94+G94</f>
        <v>18.329999999999998</v>
      </c>
      <c r="I94" s="99">
        <f t="shared" si="4"/>
        <v>7.515299999999999</v>
      </c>
      <c r="J94" s="69"/>
      <c r="K94" s="65"/>
      <c r="L94" s="65"/>
      <c r="M94" s="68"/>
    </row>
    <row r="95" spans="1:13" ht="39" customHeight="1" x14ac:dyDescent="0.25">
      <c r="A95" s="119" t="s">
        <v>66</v>
      </c>
      <c r="B95" s="120"/>
      <c r="C95" s="91" t="s">
        <v>83</v>
      </c>
      <c r="D95" s="91" t="s">
        <v>3</v>
      </c>
      <c r="E95" s="92"/>
      <c r="F95" s="93">
        <v>1</v>
      </c>
      <c r="G95" s="93"/>
      <c r="H95" s="94"/>
      <c r="I95" s="94">
        <f>SUM(I99:I109)</f>
        <v>3035.1402749999997</v>
      </c>
      <c r="J95" s="69"/>
      <c r="K95" s="65"/>
      <c r="L95" s="64">
        <f>I95</f>
        <v>3035.1402749999997</v>
      </c>
      <c r="M95" s="68"/>
    </row>
    <row r="96" spans="1:13" ht="16.5" hidden="1" customHeight="1" x14ac:dyDescent="0.25">
      <c r="A96" s="95"/>
      <c r="B96" s="96"/>
      <c r="C96" s="91" t="s">
        <v>35</v>
      </c>
      <c r="D96" s="91" t="s">
        <v>6</v>
      </c>
      <c r="E96" s="92">
        <v>2.6</v>
      </c>
      <c r="F96" s="1"/>
      <c r="G96" s="93"/>
      <c r="H96" s="94"/>
      <c r="I96" s="94" t="str">
        <f>IF(ISBLANK(B96)," ",E96*G96)</f>
        <v xml:space="preserve"> </v>
      </c>
      <c r="J96" s="69"/>
      <c r="K96" s="65"/>
      <c r="L96" s="65"/>
      <c r="M96" s="68"/>
    </row>
    <row r="97" spans="1:13" ht="16.5" hidden="1" customHeight="1" x14ac:dyDescent="0.25">
      <c r="A97" s="95"/>
      <c r="B97" s="96"/>
      <c r="C97" s="91" t="s">
        <v>36</v>
      </c>
      <c r="D97" s="91" t="s">
        <v>6</v>
      </c>
      <c r="E97" s="92">
        <v>9.57</v>
      </c>
      <c r="F97" s="1"/>
      <c r="G97" s="93"/>
      <c r="H97" s="94"/>
      <c r="I97" s="94" t="str">
        <f>IF(ISBLANK(B97)," ",E97*G97)</f>
        <v xml:space="preserve"> </v>
      </c>
      <c r="J97" s="69"/>
      <c r="K97" s="65"/>
      <c r="L97" s="65"/>
      <c r="M97" s="68"/>
    </row>
    <row r="98" spans="1:13" ht="16.5" hidden="1" customHeight="1" x14ac:dyDescent="0.25">
      <c r="A98" s="95"/>
      <c r="B98" s="96"/>
      <c r="C98" s="91" t="s">
        <v>7</v>
      </c>
      <c r="D98" s="91" t="s">
        <v>84</v>
      </c>
      <c r="E98" s="92">
        <v>20.05</v>
      </c>
      <c r="F98" s="93"/>
      <c r="G98" s="93"/>
      <c r="H98" s="94"/>
      <c r="I98" s="94"/>
      <c r="J98" s="69"/>
      <c r="K98" s="65"/>
      <c r="L98" s="65"/>
      <c r="M98" s="68"/>
    </row>
    <row r="99" spans="1:13" ht="23.25" hidden="1" customHeight="1" x14ac:dyDescent="0.25">
      <c r="A99" s="97" t="s">
        <v>67</v>
      </c>
      <c r="B99" s="3" t="s">
        <v>8</v>
      </c>
      <c r="C99" s="98" t="s">
        <v>9</v>
      </c>
      <c r="D99" s="98" t="s">
        <v>10</v>
      </c>
      <c r="E99" s="5">
        <f>TRUNC(+E97,2)</f>
        <v>9.57</v>
      </c>
      <c r="F99" s="5">
        <f>E99*F95</f>
        <v>9.57</v>
      </c>
      <c r="G99" s="1">
        <v>6.7</v>
      </c>
      <c r="H99" s="99">
        <f>C14*G99+G99</f>
        <v>6.7</v>
      </c>
      <c r="I99" s="99">
        <f t="shared" ref="I99:I109" si="5">F99*H99</f>
        <v>64.119</v>
      </c>
      <c r="J99" s="69"/>
      <c r="K99" s="65"/>
      <c r="L99" s="65"/>
      <c r="M99" s="68"/>
    </row>
    <row r="100" spans="1:13" ht="23.25" hidden="1" customHeight="1" x14ac:dyDescent="0.25">
      <c r="A100" s="97" t="s">
        <v>68</v>
      </c>
      <c r="B100" s="3" t="s">
        <v>11</v>
      </c>
      <c r="C100" s="98" t="s">
        <v>12</v>
      </c>
      <c r="D100" s="98" t="s">
        <v>13</v>
      </c>
      <c r="E100" s="5">
        <f>TRUNC(+E99*0.3*0.1,2)</f>
        <v>0.28000000000000003</v>
      </c>
      <c r="F100" s="5">
        <f>E100*F95</f>
        <v>0.28000000000000003</v>
      </c>
      <c r="G100" s="1">
        <v>184.25</v>
      </c>
      <c r="H100" s="99">
        <f>C14*G100+G100</f>
        <v>184.25</v>
      </c>
      <c r="I100" s="99">
        <f t="shared" si="5"/>
        <v>51.59</v>
      </c>
      <c r="J100" s="69"/>
      <c r="K100" s="65"/>
      <c r="L100" s="65"/>
      <c r="M100" s="68"/>
    </row>
    <row r="101" spans="1:13" ht="27" hidden="1" customHeight="1" x14ac:dyDescent="0.25">
      <c r="A101" s="97" t="s">
        <v>69</v>
      </c>
      <c r="B101" s="3" t="s">
        <v>14</v>
      </c>
      <c r="C101" s="98" t="s">
        <v>15</v>
      </c>
      <c r="D101" s="98" t="s">
        <v>13</v>
      </c>
      <c r="E101" s="5">
        <f>E98*0.15</f>
        <v>3.0074999999999998</v>
      </c>
      <c r="F101" s="5">
        <f>E101*F95</f>
        <v>3.0074999999999998</v>
      </c>
      <c r="G101" s="1">
        <v>50.25</v>
      </c>
      <c r="H101" s="99">
        <f>C14*G101+G101</f>
        <v>50.25</v>
      </c>
      <c r="I101" s="99">
        <f t="shared" si="5"/>
        <v>151.12687499999998</v>
      </c>
      <c r="J101" s="69"/>
      <c r="K101" s="65"/>
      <c r="L101" s="65"/>
      <c r="M101" s="68"/>
    </row>
    <row r="102" spans="1:13" ht="23.25" hidden="1" customHeight="1" x14ac:dyDescent="0.25">
      <c r="A102" s="97" t="s">
        <v>70</v>
      </c>
      <c r="B102" s="3" t="s">
        <v>16</v>
      </c>
      <c r="C102" s="98" t="s">
        <v>17</v>
      </c>
      <c r="D102" s="98" t="s">
        <v>13</v>
      </c>
      <c r="E102" s="5">
        <f>TRUNC((+E101*1.3)+(E100+E99*0.15*0.46)*1.2,2)</f>
        <v>5.03</v>
      </c>
      <c r="F102" s="5">
        <f>E102*F95</f>
        <v>5.03</v>
      </c>
      <c r="G102" s="1">
        <v>88.24</v>
      </c>
      <c r="H102" s="99">
        <f>C14*G102+G102</f>
        <v>88.24</v>
      </c>
      <c r="I102" s="99">
        <f t="shared" si="5"/>
        <v>443.84719999999999</v>
      </c>
      <c r="J102" s="69"/>
      <c r="K102" s="65"/>
      <c r="L102" s="65"/>
      <c r="M102" s="68"/>
    </row>
    <row r="103" spans="1:13" ht="23.25" hidden="1" customHeight="1" x14ac:dyDescent="0.25">
      <c r="A103" s="97" t="s">
        <v>71</v>
      </c>
      <c r="B103" s="3" t="s">
        <v>18</v>
      </c>
      <c r="C103" s="98" t="s">
        <v>19</v>
      </c>
      <c r="D103" s="98" t="s">
        <v>13</v>
      </c>
      <c r="E103" s="5">
        <f>TRUNC(+E98*0.03,2)</f>
        <v>0.6</v>
      </c>
      <c r="F103" s="5">
        <f>E103*F95</f>
        <v>0.6</v>
      </c>
      <c r="G103" s="1">
        <v>139.27000000000001</v>
      </c>
      <c r="H103" s="99">
        <f>C14*G103+G103</f>
        <v>139.27000000000001</v>
      </c>
      <c r="I103" s="99">
        <f t="shared" si="5"/>
        <v>83.561999999999998</v>
      </c>
      <c r="J103" s="69"/>
      <c r="K103" s="65"/>
      <c r="L103" s="65"/>
      <c r="M103" s="68"/>
    </row>
    <row r="104" spans="1:13" ht="23.25" hidden="1" customHeight="1" x14ac:dyDescent="0.25">
      <c r="A104" s="97" t="s">
        <v>72</v>
      </c>
      <c r="B104" s="3" t="s">
        <v>20</v>
      </c>
      <c r="C104" s="98" t="s">
        <v>21</v>
      </c>
      <c r="D104" s="98" t="s">
        <v>22</v>
      </c>
      <c r="E104" s="5">
        <f>TRUNC(0.97*E98,2)</f>
        <v>19.440000000000001</v>
      </c>
      <c r="F104" s="5">
        <f>E104*F95</f>
        <v>19.440000000000001</v>
      </c>
      <c r="G104" s="1">
        <v>13.86</v>
      </c>
      <c r="H104" s="99">
        <f>C14*G104+G104</f>
        <v>13.86</v>
      </c>
      <c r="I104" s="99">
        <f t="shared" si="5"/>
        <v>269.4384</v>
      </c>
      <c r="J104" s="69"/>
      <c r="K104" s="65"/>
      <c r="L104" s="65"/>
      <c r="M104" s="68"/>
    </row>
    <row r="105" spans="1:13" ht="23.25" hidden="1" customHeight="1" x14ac:dyDescent="0.25">
      <c r="A105" s="97" t="s">
        <v>73</v>
      </c>
      <c r="B105" s="3" t="s">
        <v>23</v>
      </c>
      <c r="C105" s="98" t="s">
        <v>24</v>
      </c>
      <c r="D105" s="98" t="s">
        <v>13</v>
      </c>
      <c r="E105" s="5">
        <f>TRUNC(++E98*0.05,2)</f>
        <v>1</v>
      </c>
      <c r="F105" s="5">
        <f>E105*F95</f>
        <v>1</v>
      </c>
      <c r="G105" s="1">
        <v>816.06</v>
      </c>
      <c r="H105" s="99">
        <f>C14*G105+G105</f>
        <v>816.06</v>
      </c>
      <c r="I105" s="99">
        <f t="shared" si="5"/>
        <v>816.06</v>
      </c>
      <c r="J105" s="69"/>
      <c r="K105" s="65"/>
      <c r="L105" s="65"/>
      <c r="M105" s="68"/>
    </row>
    <row r="106" spans="1:13" ht="23.25" hidden="1" customHeight="1" x14ac:dyDescent="0.25">
      <c r="A106" s="97" t="s">
        <v>74</v>
      </c>
      <c r="B106" s="3" t="s">
        <v>25</v>
      </c>
      <c r="C106" s="98" t="s">
        <v>26</v>
      </c>
      <c r="D106" s="98" t="s">
        <v>27</v>
      </c>
      <c r="E106" s="5">
        <f>TRUNC(E98-E107,2)</f>
        <v>17.079999999999998</v>
      </c>
      <c r="F106" s="5">
        <f>E106*F95</f>
        <v>17.079999999999998</v>
      </c>
      <c r="G106" s="1">
        <v>28.43</v>
      </c>
      <c r="H106" s="99">
        <f>C14*G106+G106</f>
        <v>28.43</v>
      </c>
      <c r="I106" s="99">
        <f t="shared" si="5"/>
        <v>485.58439999999996</v>
      </c>
      <c r="J106" s="69"/>
      <c r="K106" s="65"/>
      <c r="L106" s="65"/>
      <c r="M106" s="68"/>
    </row>
    <row r="107" spans="1:13" ht="23.25" hidden="1" customHeight="1" x14ac:dyDescent="0.25">
      <c r="A107" s="97" t="s">
        <v>75</v>
      </c>
      <c r="B107" s="3" t="s">
        <v>28</v>
      </c>
      <c r="C107" s="98" t="s">
        <v>29</v>
      </c>
      <c r="D107" s="98" t="s">
        <v>27</v>
      </c>
      <c r="E107" s="5">
        <f>0.3*0.3*33</f>
        <v>2.9699999999999998</v>
      </c>
      <c r="F107" s="5">
        <f>E107*F95</f>
        <v>2.9699999999999998</v>
      </c>
      <c r="G107" s="1">
        <v>177.44</v>
      </c>
      <c r="H107" s="99">
        <f>C14*G107+G107</f>
        <v>177.44</v>
      </c>
      <c r="I107" s="99">
        <f t="shared" si="5"/>
        <v>526.99679999999989</v>
      </c>
      <c r="J107" s="69"/>
      <c r="K107" s="65"/>
      <c r="L107" s="65"/>
      <c r="M107" s="68"/>
    </row>
    <row r="108" spans="1:13" ht="23.25" hidden="1" customHeight="1" x14ac:dyDescent="0.25">
      <c r="A108" s="97" t="s">
        <v>76</v>
      </c>
      <c r="B108" s="3" t="s">
        <v>30</v>
      </c>
      <c r="C108" s="98" t="s">
        <v>31</v>
      </c>
      <c r="D108" s="98" t="s">
        <v>13</v>
      </c>
      <c r="E108" s="5">
        <f>TRUNC(+E99*0.3*0.1,2)</f>
        <v>0.28000000000000003</v>
      </c>
      <c r="F108" s="5">
        <f>E108*F95</f>
        <v>0.28000000000000003</v>
      </c>
      <c r="G108" s="1">
        <v>465.54</v>
      </c>
      <c r="H108" s="99">
        <f>C14*G108+G108</f>
        <v>465.54</v>
      </c>
      <c r="I108" s="99">
        <f t="shared" si="5"/>
        <v>130.35120000000001</v>
      </c>
      <c r="J108" s="69"/>
      <c r="K108" s="65"/>
      <c r="L108" s="65"/>
      <c r="M108" s="68"/>
    </row>
    <row r="109" spans="1:13" ht="23.25" hidden="1" customHeight="1" x14ac:dyDescent="0.25">
      <c r="A109" s="97" t="s">
        <v>77</v>
      </c>
      <c r="B109" s="3" t="s">
        <v>32</v>
      </c>
      <c r="C109" s="98" t="s">
        <v>33</v>
      </c>
      <c r="D109" s="98" t="s">
        <v>10</v>
      </c>
      <c r="E109" s="5">
        <f>TRUNC(+E99*(0.3*0.1+0.3*0.14),2)</f>
        <v>0.68</v>
      </c>
      <c r="F109" s="5">
        <f>E109*F95</f>
        <v>0.68</v>
      </c>
      <c r="G109" s="1">
        <v>18.329999999999998</v>
      </c>
      <c r="H109" s="99">
        <f>C14*G109+G109</f>
        <v>18.329999999999998</v>
      </c>
      <c r="I109" s="99">
        <f t="shared" si="5"/>
        <v>12.464399999999999</v>
      </c>
      <c r="J109" s="69"/>
      <c r="K109" s="65"/>
      <c r="L109" s="65"/>
      <c r="M109" s="68"/>
    </row>
    <row r="110" spans="1:13" ht="31.5" customHeight="1" x14ac:dyDescent="0.25">
      <c r="A110" s="121" t="s">
        <v>115</v>
      </c>
      <c r="B110" s="122"/>
      <c r="C110" s="91" t="s">
        <v>49</v>
      </c>
      <c r="D110" s="91" t="s">
        <v>27</v>
      </c>
      <c r="E110" s="92"/>
      <c r="F110" s="93">
        <f>763.6+1104.05</f>
        <v>1867.65</v>
      </c>
      <c r="G110" s="93">
        <v>0</v>
      </c>
      <c r="H110" s="94"/>
      <c r="I110" s="94">
        <f>SUM(I111:I116)</f>
        <v>235058.88046499999</v>
      </c>
      <c r="J110" s="69"/>
      <c r="K110" s="64">
        <f>I110/3</f>
        <v>78352.960154999993</v>
      </c>
      <c r="L110" s="64">
        <f>I110/3</f>
        <v>78352.960154999993</v>
      </c>
      <c r="M110" s="70">
        <f>I110/3</f>
        <v>78352.960154999993</v>
      </c>
    </row>
    <row r="111" spans="1:13" ht="27" hidden="1" customHeight="1" x14ac:dyDescent="0.25">
      <c r="A111" s="97" t="s">
        <v>116</v>
      </c>
      <c r="B111" s="3" t="s">
        <v>11</v>
      </c>
      <c r="C111" s="98" t="s">
        <v>12</v>
      </c>
      <c r="D111" s="98" t="s">
        <v>13</v>
      </c>
      <c r="E111" s="5">
        <f>TRUNC(1*0.08,2)</f>
        <v>0.08</v>
      </c>
      <c r="F111" s="5">
        <f>E111*F110</f>
        <v>149.41200000000001</v>
      </c>
      <c r="G111" s="1">
        <v>184.25</v>
      </c>
      <c r="H111" s="99">
        <f>C14*G111+G111</f>
        <v>184.25</v>
      </c>
      <c r="I111" s="99">
        <f t="shared" ref="I111:I116" si="6">F111*H111</f>
        <v>27529.161</v>
      </c>
      <c r="J111" s="69"/>
      <c r="K111" s="65"/>
      <c r="L111" s="65"/>
      <c r="M111" s="68"/>
    </row>
    <row r="112" spans="1:13" ht="51" hidden="1" customHeight="1" x14ac:dyDescent="0.25">
      <c r="A112" s="97" t="s">
        <v>117</v>
      </c>
      <c r="B112" s="3" t="s">
        <v>16</v>
      </c>
      <c r="C112" s="98" t="s">
        <v>17</v>
      </c>
      <c r="D112" s="98" t="s">
        <v>13</v>
      </c>
      <c r="E112" s="5">
        <f>TRUNC(1.2*E111,2)</f>
        <v>0.09</v>
      </c>
      <c r="F112" s="5">
        <f>E112*F110</f>
        <v>168.08850000000001</v>
      </c>
      <c r="G112" s="1">
        <v>88.24</v>
      </c>
      <c r="H112" s="99">
        <f>C14*G112+G112</f>
        <v>88.24</v>
      </c>
      <c r="I112" s="99">
        <f t="shared" si="6"/>
        <v>14832.12924</v>
      </c>
      <c r="J112" s="69"/>
      <c r="K112" s="65"/>
      <c r="L112" s="65"/>
      <c r="M112" s="68"/>
    </row>
    <row r="113" spans="1:13" ht="21" hidden="1" customHeight="1" x14ac:dyDescent="0.25">
      <c r="A113" s="97" t="s">
        <v>118</v>
      </c>
      <c r="B113" s="3" t="s">
        <v>18</v>
      </c>
      <c r="C113" s="98" t="s">
        <v>19</v>
      </c>
      <c r="D113" s="98" t="s">
        <v>13</v>
      </c>
      <c r="E113" s="5">
        <f>TRUNC(1*0.03,2)</f>
        <v>0.03</v>
      </c>
      <c r="F113" s="5">
        <f>E113*F110</f>
        <v>56.029499999999999</v>
      </c>
      <c r="G113" s="1">
        <v>139.27000000000001</v>
      </c>
      <c r="H113" s="99">
        <f>C14*G113+G113</f>
        <v>139.27000000000001</v>
      </c>
      <c r="I113" s="99">
        <f t="shared" si="6"/>
        <v>7803.2284650000001</v>
      </c>
      <c r="J113" s="69"/>
      <c r="K113" s="65"/>
      <c r="L113" s="65"/>
      <c r="M113" s="68"/>
    </row>
    <row r="114" spans="1:13" ht="22.5" hidden="1" customHeight="1" x14ac:dyDescent="0.25">
      <c r="A114" s="97" t="s">
        <v>119</v>
      </c>
      <c r="B114" s="3" t="s">
        <v>20</v>
      </c>
      <c r="C114" s="98" t="s">
        <v>21</v>
      </c>
      <c r="D114" s="98" t="s">
        <v>22</v>
      </c>
      <c r="E114" s="5">
        <f>TRUNC(1*0.97,2)</f>
        <v>0.97</v>
      </c>
      <c r="F114" s="5">
        <f>E114*F110</f>
        <v>1811.6205</v>
      </c>
      <c r="G114" s="1">
        <v>13.86</v>
      </c>
      <c r="H114" s="99">
        <f>C14*G114+G114</f>
        <v>13.86</v>
      </c>
      <c r="I114" s="99">
        <f t="shared" si="6"/>
        <v>25109.060129999998</v>
      </c>
      <c r="J114" s="69"/>
      <c r="K114" s="65"/>
      <c r="L114" s="65"/>
      <c r="M114" s="68"/>
    </row>
    <row r="115" spans="1:13" ht="35.25" hidden="1" customHeight="1" x14ac:dyDescent="0.25">
      <c r="A115" s="97" t="s">
        <v>120</v>
      </c>
      <c r="B115" s="3" t="s">
        <v>23</v>
      </c>
      <c r="C115" s="98" t="s">
        <v>24</v>
      </c>
      <c r="D115" s="98" t="s">
        <v>13</v>
      </c>
      <c r="E115" s="5">
        <f>TRUNC(1*0.07,2)</f>
        <v>7.0000000000000007E-2</v>
      </c>
      <c r="F115" s="5">
        <f>E115*F110</f>
        <v>130.73550000000003</v>
      </c>
      <c r="G115" s="1">
        <v>816.06</v>
      </c>
      <c r="H115" s="99">
        <f>C14*G115+G115</f>
        <v>816.06</v>
      </c>
      <c r="I115" s="99">
        <f t="shared" si="6"/>
        <v>106688.01213000002</v>
      </c>
      <c r="J115" s="69"/>
      <c r="K115" s="65"/>
      <c r="L115" s="65"/>
      <c r="M115" s="68"/>
    </row>
    <row r="116" spans="1:13" ht="22.5" hidden="1" customHeight="1" x14ac:dyDescent="0.25">
      <c r="A116" s="97" t="s">
        <v>121</v>
      </c>
      <c r="B116" s="3" t="s">
        <v>25</v>
      </c>
      <c r="C116" s="98" t="s">
        <v>26</v>
      </c>
      <c r="D116" s="98" t="s">
        <v>27</v>
      </c>
      <c r="E116" s="5">
        <v>1</v>
      </c>
      <c r="F116" s="5">
        <f>E116*F110</f>
        <v>1867.65</v>
      </c>
      <c r="G116" s="1">
        <v>28.43</v>
      </c>
      <c r="H116" s="99">
        <f>C14*G116+G116</f>
        <v>28.43</v>
      </c>
      <c r="I116" s="99">
        <f t="shared" si="6"/>
        <v>53097.289499999999</v>
      </c>
      <c r="J116" s="69"/>
      <c r="K116" s="65"/>
      <c r="L116" s="65"/>
      <c r="M116" s="68"/>
    </row>
    <row r="117" spans="1:13" ht="38.25" customHeight="1" x14ac:dyDescent="0.25">
      <c r="A117" s="121" t="s">
        <v>122</v>
      </c>
      <c r="B117" s="122"/>
      <c r="C117" s="91" t="s">
        <v>57</v>
      </c>
      <c r="D117" s="91" t="s">
        <v>10</v>
      </c>
      <c r="E117" s="92"/>
      <c r="F117" s="93">
        <f>280.65+566.1</f>
        <v>846.75</v>
      </c>
      <c r="G117" s="93">
        <v>0</v>
      </c>
      <c r="H117" s="94"/>
      <c r="I117" s="94">
        <f>SUM(I118)</f>
        <v>45074.195999999996</v>
      </c>
      <c r="J117" s="69"/>
      <c r="K117" s="65"/>
      <c r="L117" s="65"/>
      <c r="M117" s="70">
        <f>I117</f>
        <v>45074.195999999996</v>
      </c>
    </row>
    <row r="118" spans="1:13" ht="44.25" hidden="1" customHeight="1" x14ac:dyDescent="0.25">
      <c r="A118" s="97" t="s">
        <v>123</v>
      </c>
      <c r="B118" s="3" t="s">
        <v>28</v>
      </c>
      <c r="C118" s="98" t="s">
        <v>29</v>
      </c>
      <c r="D118" s="98" t="s">
        <v>27</v>
      </c>
      <c r="E118" s="5">
        <v>0.3</v>
      </c>
      <c r="F118" s="5">
        <f>E118*F117</f>
        <v>254.02499999999998</v>
      </c>
      <c r="G118" s="1">
        <v>177.44</v>
      </c>
      <c r="H118" s="99">
        <f>C14*G118+G118</f>
        <v>177.44</v>
      </c>
      <c r="I118" s="99">
        <f>F118*H118</f>
        <v>45074.195999999996</v>
      </c>
      <c r="J118" s="69"/>
      <c r="K118" s="65"/>
      <c r="L118" s="65"/>
      <c r="M118" s="68"/>
    </row>
    <row r="119" spans="1:13" ht="40.5" customHeight="1" x14ac:dyDescent="0.25">
      <c r="A119" s="121" t="s">
        <v>124</v>
      </c>
      <c r="B119" s="122"/>
      <c r="C119" s="91" t="s">
        <v>156</v>
      </c>
      <c r="D119" s="91" t="s">
        <v>10</v>
      </c>
      <c r="E119" s="92"/>
      <c r="F119" s="93">
        <f>118.4+59.08</f>
        <v>177.48000000000002</v>
      </c>
      <c r="G119" s="93">
        <v>0</v>
      </c>
      <c r="H119" s="94"/>
      <c r="I119" s="94">
        <f>SUM(I120:I124)</f>
        <v>13973.994288000002</v>
      </c>
      <c r="J119" s="69"/>
      <c r="K119" s="65"/>
      <c r="L119" s="65"/>
      <c r="M119" s="70">
        <f>I119</f>
        <v>13973.994288000002</v>
      </c>
    </row>
    <row r="120" spans="1:13" ht="21.75" hidden="1" customHeight="1" x14ac:dyDescent="0.25">
      <c r="A120" s="97" t="s">
        <v>125</v>
      </c>
      <c r="B120" s="100" t="s">
        <v>78</v>
      </c>
      <c r="C120" s="101" t="s">
        <v>79</v>
      </c>
      <c r="D120" s="98" t="s">
        <v>10</v>
      </c>
      <c r="E120" s="5">
        <v>2</v>
      </c>
      <c r="F120" s="5">
        <f>E120*F119</f>
        <v>354.96000000000004</v>
      </c>
      <c r="G120" s="1">
        <v>4.6500000000000004</v>
      </c>
      <c r="H120" s="99">
        <f>C14*G120+G120</f>
        <v>4.6500000000000004</v>
      </c>
      <c r="I120" s="99">
        <f>H120*F120</f>
        <v>1650.5640000000003</v>
      </c>
      <c r="J120" s="69"/>
      <c r="K120" s="65"/>
      <c r="L120" s="65"/>
      <c r="M120" s="68"/>
    </row>
    <row r="121" spans="1:13" ht="25.5" hidden="1" customHeight="1" x14ac:dyDescent="0.25">
      <c r="A121" s="97" t="s">
        <v>126</v>
      </c>
      <c r="B121" s="102" t="s">
        <v>158</v>
      </c>
      <c r="C121" s="98" t="s">
        <v>157</v>
      </c>
      <c r="D121" s="98" t="s">
        <v>27</v>
      </c>
      <c r="E121" s="5">
        <f>1*0.3</f>
        <v>0.3</v>
      </c>
      <c r="F121" s="5">
        <f>E121*F119</f>
        <v>53.244000000000007</v>
      </c>
      <c r="G121" s="1">
        <v>21.78</v>
      </c>
      <c r="H121" s="99">
        <f>C14*G121+G121</f>
        <v>21.78</v>
      </c>
      <c r="I121" s="99">
        <f>H121*F121</f>
        <v>1159.6543200000001</v>
      </c>
      <c r="J121" s="69"/>
      <c r="K121" s="65"/>
      <c r="L121" s="65"/>
      <c r="M121" s="68"/>
    </row>
    <row r="122" spans="1:13" ht="49.5" hidden="1" customHeight="1" x14ac:dyDescent="0.25">
      <c r="A122" s="97" t="s">
        <v>127</v>
      </c>
      <c r="B122" s="3" t="s">
        <v>16</v>
      </c>
      <c r="C122" s="98" t="s">
        <v>17</v>
      </c>
      <c r="D122" s="98" t="s">
        <v>13</v>
      </c>
      <c r="E122" s="5">
        <f>1*0.3*0.05</f>
        <v>1.4999999999999999E-2</v>
      </c>
      <c r="F122" s="5">
        <f>E122*F119</f>
        <v>2.6622000000000003</v>
      </c>
      <c r="G122" s="1">
        <v>88.24</v>
      </c>
      <c r="H122" s="99">
        <f>C14*G122+G122</f>
        <v>88.24</v>
      </c>
      <c r="I122" s="99">
        <f t="shared" ref="I122:I124" si="7">F122*H122</f>
        <v>234.91252800000001</v>
      </c>
      <c r="J122" s="69"/>
      <c r="K122" s="65"/>
      <c r="L122" s="65"/>
      <c r="M122" s="68"/>
    </row>
    <row r="123" spans="1:13" ht="24.75" hidden="1" customHeight="1" x14ac:dyDescent="0.25">
      <c r="A123" s="97" t="s">
        <v>128</v>
      </c>
      <c r="B123" s="3" t="s">
        <v>63</v>
      </c>
      <c r="C123" s="98" t="s">
        <v>64</v>
      </c>
      <c r="D123" s="98" t="s">
        <v>27</v>
      </c>
      <c r="E123" s="5">
        <v>0.3</v>
      </c>
      <c r="F123" s="5">
        <f>E123*F119</f>
        <v>53.244000000000007</v>
      </c>
      <c r="G123" s="1">
        <v>27.82</v>
      </c>
      <c r="H123" s="99">
        <f>C14*G123+G123</f>
        <v>27.82</v>
      </c>
      <c r="I123" s="99">
        <f t="shared" si="7"/>
        <v>1481.2480800000003</v>
      </c>
      <c r="J123" s="69"/>
      <c r="K123" s="65"/>
      <c r="L123" s="65"/>
      <c r="M123" s="68"/>
    </row>
    <row r="124" spans="1:13" ht="41.25" hidden="1" customHeight="1" x14ac:dyDescent="0.25">
      <c r="A124" s="103" t="s">
        <v>159</v>
      </c>
      <c r="B124" s="50" t="s">
        <v>28</v>
      </c>
      <c r="C124" s="104" t="s">
        <v>29</v>
      </c>
      <c r="D124" s="104" t="s">
        <v>27</v>
      </c>
      <c r="E124" s="52">
        <v>0.3</v>
      </c>
      <c r="F124" s="52">
        <f>E124*F119</f>
        <v>53.244000000000007</v>
      </c>
      <c r="G124" s="105">
        <v>177.44</v>
      </c>
      <c r="H124" s="106">
        <f>C14*G124+G124</f>
        <v>177.44</v>
      </c>
      <c r="I124" s="106">
        <f t="shared" si="7"/>
        <v>9447.6153600000016</v>
      </c>
      <c r="J124" s="69"/>
      <c r="K124" s="65"/>
      <c r="L124" s="65"/>
      <c r="M124" s="68"/>
    </row>
    <row r="125" spans="1:13" ht="41.25" customHeight="1" thickBot="1" x14ac:dyDescent="0.3">
      <c r="A125" s="121" t="s">
        <v>129</v>
      </c>
      <c r="B125" s="122"/>
      <c r="C125" s="91" t="s">
        <v>144</v>
      </c>
      <c r="D125" s="91"/>
      <c r="E125" s="92"/>
      <c r="F125" s="93"/>
      <c r="G125" s="93"/>
      <c r="H125" s="94"/>
      <c r="I125" s="94">
        <f>I126+I127+I128</f>
        <v>880.51</v>
      </c>
      <c r="J125" s="67">
        <f>I125</f>
        <v>880.51</v>
      </c>
      <c r="K125" s="65"/>
      <c r="L125" s="65"/>
      <c r="M125" s="68"/>
    </row>
    <row r="126" spans="1:13" ht="33" hidden="1" customHeight="1" x14ac:dyDescent="0.25">
      <c r="A126" s="2" t="s">
        <v>130</v>
      </c>
      <c r="B126" s="3" t="s">
        <v>145</v>
      </c>
      <c r="C126" s="60" t="s">
        <v>146</v>
      </c>
      <c r="D126" s="4" t="s">
        <v>137</v>
      </c>
      <c r="E126" s="5"/>
      <c r="F126" s="6">
        <v>1</v>
      </c>
      <c r="G126" s="7">
        <v>231.23</v>
      </c>
      <c r="H126" s="7">
        <f>C14*G126+G126</f>
        <v>231.23</v>
      </c>
      <c r="I126" s="12">
        <f>H126*F126</f>
        <v>231.23</v>
      </c>
      <c r="J126" s="71"/>
      <c r="K126" s="72"/>
      <c r="L126" s="72"/>
      <c r="M126" s="73"/>
    </row>
    <row r="127" spans="1:13" ht="18.75" hidden="1" customHeight="1" x14ac:dyDescent="0.25">
      <c r="A127" s="2" t="s">
        <v>131</v>
      </c>
      <c r="B127" s="3" t="s">
        <v>147</v>
      </c>
      <c r="C127" s="14" t="s">
        <v>148</v>
      </c>
      <c r="D127" s="4" t="s">
        <v>137</v>
      </c>
      <c r="E127" s="5"/>
      <c r="F127" s="6">
        <v>2</v>
      </c>
      <c r="G127" s="7">
        <v>231.23</v>
      </c>
      <c r="H127" s="7">
        <f>C14*G127+G127</f>
        <v>231.23</v>
      </c>
      <c r="I127" s="12">
        <f>H127*F127</f>
        <v>462.46</v>
      </c>
      <c r="J127" s="71"/>
      <c r="K127" s="72"/>
      <c r="L127" s="72"/>
      <c r="M127" s="73"/>
    </row>
    <row r="128" spans="1:13" ht="34.5" hidden="1" customHeight="1" x14ac:dyDescent="0.25">
      <c r="A128" s="2" t="s">
        <v>132</v>
      </c>
      <c r="B128" s="3" t="s">
        <v>149</v>
      </c>
      <c r="C128" s="60" t="s">
        <v>150</v>
      </c>
      <c r="D128" s="4" t="s">
        <v>137</v>
      </c>
      <c r="E128" s="5"/>
      <c r="F128" s="6">
        <v>2</v>
      </c>
      <c r="G128" s="7">
        <v>93.41</v>
      </c>
      <c r="H128" s="7">
        <f>C14*G128+G128</f>
        <v>93.41</v>
      </c>
      <c r="I128" s="12">
        <f>H128*F128</f>
        <v>186.82</v>
      </c>
      <c r="J128" s="71"/>
      <c r="K128" s="72"/>
      <c r="L128" s="72"/>
      <c r="M128" s="73"/>
    </row>
    <row r="129" spans="1:13" ht="32.25" customHeight="1" thickBot="1" x14ac:dyDescent="0.3">
      <c r="A129" s="57"/>
      <c r="B129" s="58"/>
      <c r="C129" s="58"/>
      <c r="D129" s="58"/>
      <c r="E129" s="58"/>
      <c r="F129" s="135" t="s">
        <v>143</v>
      </c>
      <c r="G129" s="136"/>
      <c r="H129" s="137"/>
      <c r="I129" s="66">
        <f>I125+I119+I117+I110+I95+I80+I65+I50+I35+I20+I18</f>
        <v>339951.10712799995</v>
      </c>
      <c r="J129" s="74">
        <f>SUM(J18:J125)</f>
        <v>12396.563275000002</v>
      </c>
      <c r="K129" s="75">
        <f>SUM(K18:K125)</f>
        <v>107088.71225499999</v>
      </c>
      <c r="L129" s="75">
        <f>SUM(L18:L125)</f>
        <v>83064.681154999998</v>
      </c>
      <c r="M129" s="76">
        <f>SUM(M18:M125)</f>
        <v>137401.15044299999</v>
      </c>
    </row>
    <row r="130" spans="1:13" ht="24.75" customHeight="1" x14ac:dyDescent="0.25">
      <c r="J130" s="107"/>
      <c r="K130" s="108"/>
      <c r="L130" s="108"/>
      <c r="M130" s="108"/>
    </row>
    <row r="132" spans="1:13" x14ac:dyDescent="0.25">
      <c r="C132" s="114" t="s">
        <v>151</v>
      </c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x14ac:dyDescent="0.25">
      <c r="C133" s="109"/>
      <c r="D133" s="109"/>
      <c r="E133" s="109"/>
      <c r="F133" s="109"/>
      <c r="G133" s="109"/>
      <c r="H133" s="109"/>
      <c r="I133" s="110"/>
      <c r="J133" s="109"/>
      <c r="K133" s="109"/>
      <c r="L133" s="109"/>
      <c r="M133" s="109"/>
    </row>
    <row r="134" spans="1:13" x14ac:dyDescent="0.25"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1:13" x14ac:dyDescent="0.25">
      <c r="C135" s="114" t="s">
        <v>152</v>
      </c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x14ac:dyDescent="0.25">
      <c r="C136" s="114" t="s">
        <v>153</v>
      </c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x14ac:dyDescent="0.25">
      <c r="C137" s="114" t="s">
        <v>154</v>
      </c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x14ac:dyDescent="0.25">
      <c r="F138" s="123"/>
      <c r="G138" s="123"/>
      <c r="H138" s="123"/>
      <c r="I138" s="123"/>
    </row>
  </sheetData>
  <mergeCells count="33">
    <mergeCell ref="F138:I138"/>
    <mergeCell ref="A16:B17"/>
    <mergeCell ref="A18:B18"/>
    <mergeCell ref="A20:B20"/>
    <mergeCell ref="A35:B35"/>
    <mergeCell ref="A50:B50"/>
    <mergeCell ref="A65:B65"/>
    <mergeCell ref="A80:B80"/>
    <mergeCell ref="G16:G17"/>
    <mergeCell ref="H16:H17"/>
    <mergeCell ref="I16:I17"/>
    <mergeCell ref="F129:H129"/>
    <mergeCell ref="C16:C17"/>
    <mergeCell ref="D16:D17"/>
    <mergeCell ref="E16:E17"/>
    <mergeCell ref="F16:F17"/>
    <mergeCell ref="C137:M137"/>
    <mergeCell ref="J16:J17"/>
    <mergeCell ref="K16:K17"/>
    <mergeCell ref="L16:L17"/>
    <mergeCell ref="A95:B95"/>
    <mergeCell ref="A110:B110"/>
    <mergeCell ref="A117:B117"/>
    <mergeCell ref="A119:B119"/>
    <mergeCell ref="A125:B125"/>
    <mergeCell ref="A10:M10"/>
    <mergeCell ref="M16:M17"/>
    <mergeCell ref="C132:M132"/>
    <mergeCell ref="C135:M135"/>
    <mergeCell ref="C136:M136"/>
    <mergeCell ref="C12:I12"/>
    <mergeCell ref="C13:I13"/>
    <mergeCell ref="C14:I14"/>
  </mergeCells>
  <conditionalFormatting sqref="F38:F39 F23:F24 F116">
    <cfRule type="containsText" dxfId="237" priority="119" operator="containsText" text=".">
      <formula>NOT(ISERROR(SEARCH(".",F23)))</formula>
    </cfRule>
  </conditionalFormatting>
  <conditionalFormatting sqref="A20 A23 A39:A49 A129 A122:A124">
    <cfRule type="containsText" dxfId="236" priority="118" operator="containsText" text=",">
      <formula>NOT(ISERROR(SEARCH(",",A20)))</formula>
    </cfRule>
  </conditionalFormatting>
  <conditionalFormatting sqref="F35 F41:F45">
    <cfRule type="containsText" dxfId="235" priority="117" operator="containsText" text=".">
      <formula>NOT(ISERROR(SEARCH(".",F35)))</formula>
    </cfRule>
  </conditionalFormatting>
  <conditionalFormatting sqref="F20">
    <cfRule type="containsText" dxfId="234" priority="115" operator="containsText" text=".">
      <formula>NOT(ISERROR(SEARCH(".",F20)))</formula>
    </cfRule>
  </conditionalFormatting>
  <conditionalFormatting sqref="A35 A38">
    <cfRule type="containsText" dxfId="233" priority="116" operator="containsText" text=",">
      <formula>NOT(ISERROR(SEARCH(",",A35)))</formula>
    </cfRule>
  </conditionalFormatting>
  <conditionalFormatting sqref="E36:E37">
    <cfRule type="containsText" dxfId="232" priority="114" operator="containsText" text=".">
      <formula>NOT(ISERROR(SEARCH(".",E36)))</formula>
    </cfRule>
  </conditionalFormatting>
  <conditionalFormatting sqref="F36:F37">
    <cfRule type="containsText" dxfId="231" priority="112" operator="containsText" text=".">
      <formula>NOT(ISERROR(SEARCH(".",F36)))</formula>
    </cfRule>
  </conditionalFormatting>
  <conditionalFormatting sqref="A36:A37">
    <cfRule type="containsText" dxfId="230" priority="113" operator="containsText" text=",">
      <formula>NOT(ISERROR(SEARCH(",",A36)))</formula>
    </cfRule>
  </conditionalFormatting>
  <conditionalFormatting sqref="A118">
    <cfRule type="containsText" dxfId="229" priority="111" operator="containsText" text=",">
      <formula>NOT(ISERROR(SEARCH(",",A118)))</formula>
    </cfRule>
  </conditionalFormatting>
  <conditionalFormatting sqref="F41:F45 F118">
    <cfRule type="containsText" dxfId="228" priority="107" operator="containsText" text=".">
      <formula>NOT(ISERROR(SEARCH(".",F41)))</formula>
    </cfRule>
  </conditionalFormatting>
  <conditionalFormatting sqref="A21:A22">
    <cfRule type="containsText" dxfId="227" priority="109" operator="containsText" text=",">
      <formula>NOT(ISERROR(SEARCH(",",A21)))</formula>
    </cfRule>
  </conditionalFormatting>
  <conditionalFormatting sqref="E21:E22">
    <cfRule type="containsText" dxfId="226" priority="110" operator="containsText" text=".">
      <formula>NOT(ISERROR(SEARCH(".",E21)))</formula>
    </cfRule>
  </conditionalFormatting>
  <conditionalFormatting sqref="A117">
    <cfRule type="containsText" dxfId="225" priority="105" operator="containsText" text=",">
      <formula>NOT(ISERROR(SEARCH(",",A117)))</formula>
    </cfRule>
  </conditionalFormatting>
  <conditionalFormatting sqref="F21:F22">
    <cfRule type="containsText" dxfId="224" priority="108" operator="containsText" text=".">
      <formula>NOT(ISERROR(SEARCH(".",F21)))</formula>
    </cfRule>
  </conditionalFormatting>
  <conditionalFormatting sqref="F117">
    <cfRule type="containsText" dxfId="223" priority="106" operator="containsText" text=".">
      <formula>NOT(ISERROR(SEARCH(".",F117)))</formula>
    </cfRule>
  </conditionalFormatting>
  <conditionalFormatting sqref="A110">
    <cfRule type="containsText" dxfId="222" priority="104" operator="containsText" text=",">
      <formula>NOT(ISERROR(SEARCH(",",A110)))</formula>
    </cfRule>
  </conditionalFormatting>
  <conditionalFormatting sqref="F110">
    <cfRule type="containsText" dxfId="221" priority="103" operator="containsText" text=".">
      <formula>NOT(ISERROR(SEARCH(".",F110)))</formula>
    </cfRule>
  </conditionalFormatting>
  <conditionalFormatting sqref="F39">
    <cfRule type="containsText" dxfId="220" priority="102" operator="containsText" text=".">
      <formula>NOT(ISERROR(SEARCH(".",F39)))</formula>
    </cfRule>
  </conditionalFormatting>
  <conditionalFormatting sqref="F47">
    <cfRule type="containsText" dxfId="219" priority="101" operator="containsText" text=".">
      <formula>NOT(ISERROR(SEARCH(".",F47)))</formula>
    </cfRule>
  </conditionalFormatting>
  <conditionalFormatting sqref="F47">
    <cfRule type="containsText" dxfId="218" priority="100" operator="containsText" text=".">
      <formula>NOT(ISERROR(SEARCH(".",F47)))</formula>
    </cfRule>
  </conditionalFormatting>
  <conditionalFormatting sqref="F40">
    <cfRule type="containsText" dxfId="217" priority="98" operator="containsText" text=".">
      <formula>NOT(ISERROR(SEARCH(".",F40)))</formula>
    </cfRule>
  </conditionalFormatting>
  <conditionalFormatting sqref="F40">
    <cfRule type="containsText" dxfId="216" priority="99" operator="containsText" text=".">
      <formula>NOT(ISERROR(SEARCH(".",F40)))</formula>
    </cfRule>
  </conditionalFormatting>
  <conditionalFormatting sqref="A111:A116">
    <cfRule type="containsText" dxfId="215" priority="97" operator="containsText" text=",">
      <formula>NOT(ISERROR(SEARCH(",",A111)))</formula>
    </cfRule>
  </conditionalFormatting>
  <conditionalFormatting sqref="F119">
    <cfRule type="containsText" dxfId="214" priority="96" operator="containsText" text=".">
      <formula>NOT(ISERROR(SEARCH(".",F119)))</formula>
    </cfRule>
  </conditionalFormatting>
  <conditionalFormatting sqref="A119">
    <cfRule type="containsText" dxfId="213" priority="95" operator="containsText" text=",">
      <formula>NOT(ISERROR(SEARCH(",",A119)))</formula>
    </cfRule>
  </conditionalFormatting>
  <conditionalFormatting sqref="F123:F124 F126:F128">
    <cfRule type="containsText" dxfId="212" priority="92" operator="containsText" text=".">
      <formula>NOT(ISERROR(SEARCH(".",F123)))</formula>
    </cfRule>
  </conditionalFormatting>
  <conditionalFormatting sqref="A126:A128">
    <cfRule type="containsText" dxfId="211" priority="94" operator="containsText" text=",">
      <formula>NOT(ISERROR(SEARCH(",",A126)))</formula>
    </cfRule>
  </conditionalFormatting>
  <conditionalFormatting sqref="F111:F113 F115">
    <cfRule type="containsText" dxfId="210" priority="93" operator="containsText" text=".">
      <formula>NOT(ISERROR(SEARCH(".",F111)))</formula>
    </cfRule>
  </conditionalFormatting>
  <conditionalFormatting sqref="F122">
    <cfRule type="containsText" dxfId="209" priority="91" operator="containsText" text=".">
      <formula>NOT(ISERROR(SEARCH(".",F122)))</formula>
    </cfRule>
  </conditionalFormatting>
  <conditionalFormatting sqref="F114">
    <cfRule type="containsText" dxfId="208" priority="90" operator="containsText" text=".">
      <formula>NOT(ISERROR(SEARCH(".",F114)))</formula>
    </cfRule>
  </conditionalFormatting>
  <conditionalFormatting sqref="F114">
    <cfRule type="containsText" dxfId="207" priority="89" operator="containsText" text=".">
      <formula>NOT(ISERROR(SEARCH(".",F114)))</formula>
    </cfRule>
  </conditionalFormatting>
  <conditionalFormatting sqref="A46">
    <cfRule type="containsText" dxfId="206" priority="88" operator="containsText" text=",">
      <formula>NOT(ISERROR(SEARCH(",",A46)))</formula>
    </cfRule>
  </conditionalFormatting>
  <conditionalFormatting sqref="F48:F49">
    <cfRule type="containsText" dxfId="205" priority="84" operator="containsText" text=".">
      <formula>NOT(ISERROR(SEARCH(".",F48)))</formula>
    </cfRule>
  </conditionalFormatting>
  <conditionalFormatting sqref="F46">
    <cfRule type="containsText" dxfId="204" priority="87" operator="containsText" text=".">
      <formula>NOT(ISERROR(SEARCH(".",F46)))</formula>
    </cfRule>
  </conditionalFormatting>
  <conditionalFormatting sqref="F46">
    <cfRule type="containsText" dxfId="203" priority="86" operator="containsText" text=".">
      <formula>NOT(ISERROR(SEARCH(".",F46)))</formula>
    </cfRule>
  </conditionalFormatting>
  <conditionalFormatting sqref="F48:F49">
    <cfRule type="containsText" dxfId="202" priority="85" operator="containsText" text=".">
      <formula>NOT(ISERROR(SEARCH(".",F48)))</formula>
    </cfRule>
  </conditionalFormatting>
  <conditionalFormatting sqref="F25:F34">
    <cfRule type="containsText" dxfId="201" priority="83" operator="containsText" text=".">
      <formula>NOT(ISERROR(SEARCH(".",F25)))</formula>
    </cfRule>
  </conditionalFormatting>
  <conditionalFormatting sqref="F53:F54">
    <cfRule type="containsText" dxfId="200" priority="82" operator="containsText" text=".">
      <formula>NOT(ISERROR(SEARCH(".",F53)))</formula>
    </cfRule>
  </conditionalFormatting>
  <conditionalFormatting sqref="A54:A64">
    <cfRule type="containsText" dxfId="199" priority="81" operator="containsText" text=",">
      <formula>NOT(ISERROR(SEARCH(",",A54)))</formula>
    </cfRule>
  </conditionalFormatting>
  <conditionalFormatting sqref="F50 F56:F60">
    <cfRule type="containsText" dxfId="198" priority="80" operator="containsText" text=".">
      <formula>NOT(ISERROR(SEARCH(".",F50)))</formula>
    </cfRule>
  </conditionalFormatting>
  <conditionalFormatting sqref="A50 A53">
    <cfRule type="containsText" dxfId="197" priority="79" operator="containsText" text=",">
      <formula>NOT(ISERROR(SEARCH(",",A50)))</formula>
    </cfRule>
  </conditionalFormatting>
  <conditionalFormatting sqref="E51:E52">
    <cfRule type="containsText" dxfId="196" priority="78" operator="containsText" text=".">
      <formula>NOT(ISERROR(SEARCH(".",E51)))</formula>
    </cfRule>
  </conditionalFormatting>
  <conditionalFormatting sqref="F51:F52">
    <cfRule type="containsText" dxfId="195" priority="76" operator="containsText" text=".">
      <formula>NOT(ISERROR(SEARCH(".",F51)))</formula>
    </cfRule>
  </conditionalFormatting>
  <conditionalFormatting sqref="A51:A52">
    <cfRule type="containsText" dxfId="194" priority="77" operator="containsText" text=",">
      <formula>NOT(ISERROR(SEARCH(",",A51)))</formula>
    </cfRule>
  </conditionalFormatting>
  <conditionalFormatting sqref="F56:F60">
    <cfRule type="containsText" dxfId="193" priority="75" operator="containsText" text=".">
      <formula>NOT(ISERROR(SEARCH(".",F56)))</formula>
    </cfRule>
  </conditionalFormatting>
  <conditionalFormatting sqref="F54">
    <cfRule type="containsText" dxfId="192" priority="74" operator="containsText" text=".">
      <formula>NOT(ISERROR(SEARCH(".",F54)))</formula>
    </cfRule>
  </conditionalFormatting>
  <conditionalFormatting sqref="F62">
    <cfRule type="containsText" dxfId="191" priority="73" operator="containsText" text=".">
      <formula>NOT(ISERROR(SEARCH(".",F62)))</formula>
    </cfRule>
  </conditionalFormatting>
  <conditionalFormatting sqref="F62">
    <cfRule type="containsText" dxfId="190" priority="72" operator="containsText" text=".">
      <formula>NOT(ISERROR(SEARCH(".",F62)))</formula>
    </cfRule>
  </conditionalFormatting>
  <conditionalFormatting sqref="F55">
    <cfRule type="containsText" dxfId="189" priority="70" operator="containsText" text=".">
      <formula>NOT(ISERROR(SEARCH(".",F55)))</formula>
    </cfRule>
  </conditionalFormatting>
  <conditionalFormatting sqref="F55">
    <cfRule type="containsText" dxfId="188" priority="71" operator="containsText" text=".">
      <formula>NOT(ISERROR(SEARCH(".",F55)))</formula>
    </cfRule>
  </conditionalFormatting>
  <conditionalFormatting sqref="F63:F64">
    <cfRule type="containsText" dxfId="187" priority="65" operator="containsText" text=".">
      <formula>NOT(ISERROR(SEARCH(".",F63)))</formula>
    </cfRule>
  </conditionalFormatting>
  <conditionalFormatting sqref="A61">
    <cfRule type="containsText" dxfId="186" priority="69" operator="containsText" text=",">
      <formula>NOT(ISERROR(SEARCH(",",A61)))</formula>
    </cfRule>
  </conditionalFormatting>
  <conditionalFormatting sqref="F61">
    <cfRule type="containsText" dxfId="185" priority="68" operator="containsText" text=".">
      <formula>NOT(ISERROR(SEARCH(".",F61)))</formula>
    </cfRule>
  </conditionalFormatting>
  <conditionalFormatting sqref="F61">
    <cfRule type="containsText" dxfId="184" priority="67" operator="containsText" text=".">
      <formula>NOT(ISERROR(SEARCH(".",F61)))</formula>
    </cfRule>
  </conditionalFormatting>
  <conditionalFormatting sqref="F63:F64">
    <cfRule type="containsText" dxfId="183" priority="66" operator="containsText" text=".">
      <formula>NOT(ISERROR(SEARCH(".",F63)))</formula>
    </cfRule>
  </conditionalFormatting>
  <conditionalFormatting sqref="F68:F69">
    <cfRule type="containsText" dxfId="182" priority="64" operator="containsText" text=".">
      <formula>NOT(ISERROR(SEARCH(".",F68)))</formula>
    </cfRule>
  </conditionalFormatting>
  <conditionalFormatting sqref="A69:A79">
    <cfRule type="containsText" dxfId="181" priority="63" operator="containsText" text=",">
      <formula>NOT(ISERROR(SEARCH(",",A69)))</formula>
    </cfRule>
  </conditionalFormatting>
  <conditionalFormatting sqref="F65 F71:F75">
    <cfRule type="containsText" dxfId="180" priority="62" operator="containsText" text=".">
      <formula>NOT(ISERROR(SEARCH(".",F65)))</formula>
    </cfRule>
  </conditionalFormatting>
  <conditionalFormatting sqref="A65 A68">
    <cfRule type="containsText" dxfId="179" priority="61" operator="containsText" text=",">
      <formula>NOT(ISERROR(SEARCH(",",A65)))</formula>
    </cfRule>
  </conditionalFormatting>
  <conditionalFormatting sqref="E66:E67">
    <cfRule type="containsText" dxfId="178" priority="60" operator="containsText" text=".">
      <formula>NOT(ISERROR(SEARCH(".",E66)))</formula>
    </cfRule>
  </conditionalFormatting>
  <conditionalFormatting sqref="F66:F67">
    <cfRule type="containsText" dxfId="177" priority="58" operator="containsText" text=".">
      <formula>NOT(ISERROR(SEARCH(".",F66)))</formula>
    </cfRule>
  </conditionalFormatting>
  <conditionalFormatting sqref="A66:A67">
    <cfRule type="containsText" dxfId="176" priority="59" operator="containsText" text=",">
      <formula>NOT(ISERROR(SEARCH(",",A66)))</formula>
    </cfRule>
  </conditionalFormatting>
  <conditionalFormatting sqref="F71:F75">
    <cfRule type="containsText" dxfId="175" priority="57" operator="containsText" text=".">
      <formula>NOT(ISERROR(SEARCH(".",F71)))</formula>
    </cfRule>
  </conditionalFormatting>
  <conditionalFormatting sqref="F69">
    <cfRule type="containsText" dxfId="174" priority="56" operator="containsText" text=".">
      <formula>NOT(ISERROR(SEARCH(".",F69)))</formula>
    </cfRule>
  </conditionalFormatting>
  <conditionalFormatting sqref="F77">
    <cfRule type="containsText" dxfId="173" priority="55" operator="containsText" text=".">
      <formula>NOT(ISERROR(SEARCH(".",F77)))</formula>
    </cfRule>
  </conditionalFormatting>
  <conditionalFormatting sqref="F77">
    <cfRule type="containsText" dxfId="172" priority="54" operator="containsText" text=".">
      <formula>NOT(ISERROR(SEARCH(".",F77)))</formula>
    </cfRule>
  </conditionalFormatting>
  <conditionalFormatting sqref="F70">
    <cfRule type="containsText" dxfId="171" priority="52" operator="containsText" text=".">
      <formula>NOT(ISERROR(SEARCH(".",F70)))</formula>
    </cfRule>
  </conditionalFormatting>
  <conditionalFormatting sqref="F70">
    <cfRule type="containsText" dxfId="170" priority="53" operator="containsText" text=".">
      <formula>NOT(ISERROR(SEARCH(".",F70)))</formula>
    </cfRule>
  </conditionalFormatting>
  <conditionalFormatting sqref="F78:F79">
    <cfRule type="containsText" dxfId="169" priority="47" operator="containsText" text=".">
      <formula>NOT(ISERROR(SEARCH(".",F78)))</formula>
    </cfRule>
  </conditionalFormatting>
  <conditionalFormatting sqref="A76">
    <cfRule type="containsText" dxfId="168" priority="51" operator="containsText" text=",">
      <formula>NOT(ISERROR(SEARCH(",",A76)))</formula>
    </cfRule>
  </conditionalFormatting>
  <conditionalFormatting sqref="F76">
    <cfRule type="containsText" dxfId="167" priority="50" operator="containsText" text=".">
      <formula>NOT(ISERROR(SEARCH(".",F76)))</formula>
    </cfRule>
  </conditionalFormatting>
  <conditionalFormatting sqref="F76">
    <cfRule type="containsText" dxfId="166" priority="49" operator="containsText" text=".">
      <formula>NOT(ISERROR(SEARCH(".",F76)))</formula>
    </cfRule>
  </conditionalFormatting>
  <conditionalFormatting sqref="F78:F79">
    <cfRule type="containsText" dxfId="165" priority="48" operator="containsText" text=".">
      <formula>NOT(ISERROR(SEARCH(".",F78)))</formula>
    </cfRule>
  </conditionalFormatting>
  <conditionalFormatting sqref="F98:F99">
    <cfRule type="containsText" dxfId="164" priority="46" operator="containsText" text=".">
      <formula>NOT(ISERROR(SEARCH(".",F98)))</formula>
    </cfRule>
  </conditionalFormatting>
  <conditionalFormatting sqref="A99:A109">
    <cfRule type="containsText" dxfId="163" priority="45" operator="containsText" text=",">
      <formula>NOT(ISERROR(SEARCH(",",A99)))</formula>
    </cfRule>
  </conditionalFormatting>
  <conditionalFormatting sqref="F95 F101:F105">
    <cfRule type="containsText" dxfId="162" priority="44" operator="containsText" text=".">
      <formula>NOT(ISERROR(SEARCH(".",F95)))</formula>
    </cfRule>
  </conditionalFormatting>
  <conditionalFormatting sqref="A95 A98">
    <cfRule type="containsText" dxfId="161" priority="43" operator="containsText" text=",">
      <formula>NOT(ISERROR(SEARCH(",",A95)))</formula>
    </cfRule>
  </conditionalFormatting>
  <conditionalFormatting sqref="E96:E97">
    <cfRule type="containsText" dxfId="160" priority="42" operator="containsText" text=".">
      <formula>NOT(ISERROR(SEARCH(".",E96)))</formula>
    </cfRule>
  </conditionalFormatting>
  <conditionalFormatting sqref="F96:F97">
    <cfRule type="containsText" dxfId="159" priority="40" operator="containsText" text=".">
      <formula>NOT(ISERROR(SEARCH(".",F96)))</formula>
    </cfRule>
  </conditionalFormatting>
  <conditionalFormatting sqref="A96:A97">
    <cfRule type="containsText" dxfId="158" priority="41" operator="containsText" text=",">
      <formula>NOT(ISERROR(SEARCH(",",A96)))</formula>
    </cfRule>
  </conditionalFormatting>
  <conditionalFormatting sqref="F101:F105">
    <cfRule type="containsText" dxfId="157" priority="39" operator="containsText" text=".">
      <formula>NOT(ISERROR(SEARCH(".",F101)))</formula>
    </cfRule>
  </conditionalFormatting>
  <conditionalFormatting sqref="F99">
    <cfRule type="containsText" dxfId="156" priority="38" operator="containsText" text=".">
      <formula>NOT(ISERROR(SEARCH(".",F99)))</formula>
    </cfRule>
  </conditionalFormatting>
  <conditionalFormatting sqref="F107">
    <cfRule type="containsText" dxfId="155" priority="37" operator="containsText" text=".">
      <formula>NOT(ISERROR(SEARCH(".",F107)))</formula>
    </cfRule>
  </conditionalFormatting>
  <conditionalFormatting sqref="F107">
    <cfRule type="containsText" dxfId="154" priority="36" operator="containsText" text=".">
      <formula>NOT(ISERROR(SEARCH(".",F107)))</formula>
    </cfRule>
  </conditionalFormatting>
  <conditionalFormatting sqref="F100">
    <cfRule type="containsText" dxfId="153" priority="34" operator="containsText" text=".">
      <formula>NOT(ISERROR(SEARCH(".",F100)))</formula>
    </cfRule>
  </conditionalFormatting>
  <conditionalFormatting sqref="F100">
    <cfRule type="containsText" dxfId="152" priority="35" operator="containsText" text=".">
      <formula>NOT(ISERROR(SEARCH(".",F100)))</formula>
    </cfRule>
  </conditionalFormatting>
  <conditionalFormatting sqref="F108:F109">
    <cfRule type="containsText" dxfId="151" priority="29" operator="containsText" text=".">
      <formula>NOT(ISERROR(SEARCH(".",F108)))</formula>
    </cfRule>
  </conditionalFormatting>
  <conditionalFormatting sqref="A106">
    <cfRule type="containsText" dxfId="150" priority="33" operator="containsText" text=",">
      <formula>NOT(ISERROR(SEARCH(",",A106)))</formula>
    </cfRule>
  </conditionalFormatting>
  <conditionalFormatting sqref="F106">
    <cfRule type="containsText" dxfId="149" priority="32" operator="containsText" text=".">
      <formula>NOT(ISERROR(SEARCH(".",F106)))</formula>
    </cfRule>
  </conditionalFormatting>
  <conditionalFormatting sqref="F106">
    <cfRule type="containsText" dxfId="148" priority="31" operator="containsText" text=".">
      <formula>NOT(ISERROR(SEARCH(".",F106)))</formula>
    </cfRule>
  </conditionalFormatting>
  <conditionalFormatting sqref="F108:F109">
    <cfRule type="containsText" dxfId="147" priority="30" operator="containsText" text=".">
      <formula>NOT(ISERROR(SEARCH(".",F108)))</formula>
    </cfRule>
  </conditionalFormatting>
  <conditionalFormatting sqref="F83:F84">
    <cfRule type="containsText" dxfId="146" priority="28" operator="containsText" text=".">
      <formula>NOT(ISERROR(SEARCH(".",F83)))</formula>
    </cfRule>
  </conditionalFormatting>
  <conditionalFormatting sqref="A84:A94">
    <cfRule type="containsText" dxfId="145" priority="27" operator="containsText" text=",">
      <formula>NOT(ISERROR(SEARCH(",",A84)))</formula>
    </cfRule>
  </conditionalFormatting>
  <conditionalFormatting sqref="F80 F86:F90">
    <cfRule type="containsText" dxfId="144" priority="26" operator="containsText" text=".">
      <formula>NOT(ISERROR(SEARCH(".",F80)))</formula>
    </cfRule>
  </conditionalFormatting>
  <conditionalFormatting sqref="A80 A83">
    <cfRule type="containsText" dxfId="143" priority="25" operator="containsText" text=",">
      <formula>NOT(ISERROR(SEARCH(",",A80)))</formula>
    </cfRule>
  </conditionalFormatting>
  <conditionalFormatting sqref="E81:E82">
    <cfRule type="containsText" dxfId="142" priority="24" operator="containsText" text=".">
      <formula>NOT(ISERROR(SEARCH(".",E81)))</formula>
    </cfRule>
  </conditionalFormatting>
  <conditionalFormatting sqref="F81:F82">
    <cfRule type="containsText" dxfId="141" priority="22" operator="containsText" text=".">
      <formula>NOT(ISERROR(SEARCH(".",F81)))</formula>
    </cfRule>
  </conditionalFormatting>
  <conditionalFormatting sqref="A81:A82">
    <cfRule type="containsText" dxfId="140" priority="23" operator="containsText" text=",">
      <formula>NOT(ISERROR(SEARCH(",",A81)))</formula>
    </cfRule>
  </conditionalFormatting>
  <conditionalFormatting sqref="F86:F90">
    <cfRule type="containsText" dxfId="139" priority="21" operator="containsText" text=".">
      <formula>NOT(ISERROR(SEARCH(".",F86)))</formula>
    </cfRule>
  </conditionalFormatting>
  <conditionalFormatting sqref="F84">
    <cfRule type="containsText" dxfId="138" priority="20" operator="containsText" text=".">
      <formula>NOT(ISERROR(SEARCH(".",F84)))</formula>
    </cfRule>
  </conditionalFormatting>
  <conditionalFormatting sqref="F92">
    <cfRule type="containsText" dxfId="137" priority="19" operator="containsText" text=".">
      <formula>NOT(ISERROR(SEARCH(".",F92)))</formula>
    </cfRule>
  </conditionalFormatting>
  <conditionalFormatting sqref="F92">
    <cfRule type="containsText" dxfId="136" priority="18" operator="containsText" text=".">
      <formula>NOT(ISERROR(SEARCH(".",F92)))</formula>
    </cfRule>
  </conditionalFormatting>
  <conditionalFormatting sqref="F85">
    <cfRule type="containsText" dxfId="135" priority="16" operator="containsText" text=".">
      <formula>NOT(ISERROR(SEARCH(".",F85)))</formula>
    </cfRule>
  </conditionalFormatting>
  <conditionalFormatting sqref="F85">
    <cfRule type="containsText" dxfId="134" priority="17" operator="containsText" text=".">
      <formula>NOT(ISERROR(SEARCH(".",F85)))</formula>
    </cfRule>
  </conditionalFormatting>
  <conditionalFormatting sqref="F93:F94">
    <cfRule type="containsText" dxfId="133" priority="11" operator="containsText" text=".">
      <formula>NOT(ISERROR(SEARCH(".",F93)))</formula>
    </cfRule>
  </conditionalFormatting>
  <conditionalFormatting sqref="A91">
    <cfRule type="containsText" dxfId="132" priority="15" operator="containsText" text=",">
      <formula>NOT(ISERROR(SEARCH(",",A91)))</formula>
    </cfRule>
  </conditionalFormatting>
  <conditionalFormatting sqref="F91">
    <cfRule type="containsText" dxfId="131" priority="14" operator="containsText" text=".">
      <formula>NOT(ISERROR(SEARCH(".",F91)))</formula>
    </cfRule>
  </conditionalFormatting>
  <conditionalFormatting sqref="F91">
    <cfRule type="containsText" dxfId="130" priority="13" operator="containsText" text=".">
      <formula>NOT(ISERROR(SEARCH(".",F91)))</formula>
    </cfRule>
  </conditionalFormatting>
  <conditionalFormatting sqref="F93:F94">
    <cfRule type="containsText" dxfId="129" priority="12" operator="containsText" text=".">
      <formula>NOT(ISERROR(SEARCH(".",F93)))</formula>
    </cfRule>
  </conditionalFormatting>
  <conditionalFormatting sqref="A18">
    <cfRule type="containsText" dxfId="128" priority="10" operator="containsText" text=",">
      <formula>NOT(ISERROR(SEARCH(",",A18)))</formula>
    </cfRule>
  </conditionalFormatting>
  <conditionalFormatting sqref="F18">
    <cfRule type="containsText" dxfId="127" priority="9" operator="containsText" text=".">
      <formula>NOT(ISERROR(SEARCH(".",F18)))</formula>
    </cfRule>
  </conditionalFormatting>
  <conditionalFormatting sqref="A24:A34">
    <cfRule type="containsText" dxfId="126" priority="8" operator="containsText" text=",">
      <formula>NOT(ISERROR(SEARCH(",",A24)))</formula>
    </cfRule>
  </conditionalFormatting>
  <conditionalFormatting sqref="A31">
    <cfRule type="containsText" dxfId="125" priority="7" operator="containsText" text=",">
      <formula>NOT(ISERROR(SEARCH(",",A31)))</formula>
    </cfRule>
  </conditionalFormatting>
  <conditionalFormatting sqref="F125">
    <cfRule type="containsText" dxfId="124" priority="6" operator="containsText" text=".">
      <formula>NOT(ISERROR(SEARCH(".",F125)))</formula>
    </cfRule>
  </conditionalFormatting>
  <conditionalFormatting sqref="A125">
    <cfRule type="containsText" dxfId="123" priority="5" operator="containsText" text=",">
      <formula>NOT(ISERROR(SEARCH(",",A125)))</formula>
    </cfRule>
  </conditionalFormatting>
  <conditionalFormatting sqref="F121">
    <cfRule type="containsText" dxfId="122" priority="3" operator="containsText" text=".">
      <formula>NOT(ISERROR(SEARCH(".",F121)))</formula>
    </cfRule>
  </conditionalFormatting>
  <conditionalFormatting sqref="A121">
    <cfRule type="containsText" dxfId="121" priority="4" operator="containsText" text=",">
      <formula>NOT(ISERROR(SEARCH(",",A121)))</formula>
    </cfRule>
  </conditionalFormatting>
  <conditionalFormatting sqref="F120">
    <cfRule type="containsText" dxfId="120" priority="1" operator="containsText" text=".">
      <formula>NOT(ISERROR(SEARCH(".",F120)))</formula>
    </cfRule>
  </conditionalFormatting>
  <conditionalFormatting sqref="A120">
    <cfRule type="containsText" dxfId="119" priority="2" operator="containsText" text=",">
      <formula>NOT(ISERROR(SEARCH(",",A120)))</formula>
    </cfRule>
  </conditionalFormatting>
  <pageMargins left="0.51181102362204722" right="0.51181102362204722" top="0.78740157480314965" bottom="0.78740157480314965" header="0.31496062992125984" footer="0.31496062992125984"/>
  <pageSetup paperSize="9" scale="62" fitToHeight="4" orientation="portrait" r:id="rId1"/>
  <rowBreaks count="1" manualBreakCount="1">
    <brk id="127" max="12" man="1"/>
  </rowBreaks>
  <colBreaks count="1" manualBreakCount="1">
    <brk id="2" max="1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138"/>
  <sheetViews>
    <sheetView tabSelected="1" topLeftCell="A121" workbookViewId="0">
      <selection activeCell="E86" sqref="E86"/>
    </sheetView>
  </sheetViews>
  <sheetFormatPr defaultRowHeight="15" x14ac:dyDescent="0.25"/>
  <cols>
    <col min="1" max="1" width="6.42578125" customWidth="1"/>
    <col min="2" max="2" width="11" customWidth="1"/>
    <col min="3" max="3" width="51.7109375" customWidth="1"/>
    <col min="5" max="5" width="11.5703125" customWidth="1"/>
    <col min="6" max="6" width="11" customWidth="1"/>
    <col min="7" max="7" width="13.85546875" customWidth="1"/>
    <col min="8" max="8" width="13.7109375" customWidth="1"/>
    <col min="9" max="9" width="15.85546875" customWidth="1"/>
  </cols>
  <sheetData>
    <row r="10" spans="1:9" ht="15.75" x14ac:dyDescent="0.25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</row>
    <row r="12" spans="1:9" x14ac:dyDescent="0.25">
      <c r="A12" s="10" t="s">
        <v>86</v>
      </c>
      <c r="B12" s="9"/>
      <c r="C12" s="138" t="s">
        <v>89</v>
      </c>
      <c r="D12" s="138"/>
      <c r="E12" s="138"/>
      <c r="F12" s="138"/>
      <c r="G12" s="138"/>
      <c r="H12" s="138"/>
      <c r="I12" s="138"/>
    </row>
    <row r="13" spans="1:9" x14ac:dyDescent="0.25">
      <c r="A13" s="11" t="s">
        <v>88</v>
      </c>
      <c r="C13" s="138" t="s">
        <v>90</v>
      </c>
      <c r="D13" s="138"/>
      <c r="E13" s="138"/>
      <c r="F13" s="138"/>
      <c r="G13" s="138"/>
      <c r="H13" s="138"/>
      <c r="I13" s="138"/>
    </row>
    <row r="14" spans="1:9" x14ac:dyDescent="0.25">
      <c r="A14" s="11" t="s">
        <v>87</v>
      </c>
      <c r="C14" s="139">
        <v>0</v>
      </c>
      <c r="D14" s="139"/>
      <c r="E14" s="139"/>
      <c r="F14" s="139"/>
      <c r="G14" s="139"/>
      <c r="H14" s="139"/>
      <c r="I14" s="139"/>
    </row>
    <row r="15" spans="1:9" ht="15.75" thickBot="1" x14ac:dyDescent="0.3"/>
    <row r="16" spans="1:9" x14ac:dyDescent="0.25">
      <c r="A16" s="147" t="s">
        <v>135</v>
      </c>
      <c r="B16" s="149" t="s">
        <v>136</v>
      </c>
      <c r="C16" s="140" t="s">
        <v>0</v>
      </c>
      <c r="D16" s="142" t="s">
        <v>137</v>
      </c>
      <c r="E16" s="130" t="s">
        <v>138</v>
      </c>
      <c r="F16" s="130" t="s">
        <v>139</v>
      </c>
      <c r="G16" s="130" t="s">
        <v>140</v>
      </c>
      <c r="H16" s="130" t="s">
        <v>155</v>
      </c>
      <c r="I16" s="145" t="s">
        <v>141</v>
      </c>
    </row>
    <row r="17" spans="1:9" ht="35.25" customHeight="1" thickBot="1" x14ac:dyDescent="0.3">
      <c r="A17" s="148"/>
      <c r="B17" s="150"/>
      <c r="C17" s="141"/>
      <c r="D17" s="143"/>
      <c r="E17" s="144"/>
      <c r="F17" s="144"/>
      <c r="G17" s="131"/>
      <c r="H17" s="132"/>
      <c r="I17" s="146"/>
    </row>
    <row r="18" spans="1:9" ht="16.5" customHeight="1" x14ac:dyDescent="0.25">
      <c r="A18" s="41" t="s">
        <v>2</v>
      </c>
      <c r="B18" s="42"/>
      <c r="C18" s="43" t="s">
        <v>133</v>
      </c>
      <c r="D18" s="43"/>
      <c r="E18" s="44"/>
      <c r="F18" s="45"/>
      <c r="G18" s="45"/>
      <c r="H18" s="46"/>
      <c r="I18" s="47">
        <f>I19</f>
        <v>3862.9800000000005</v>
      </c>
    </row>
    <row r="19" spans="1:9" ht="16.5" customHeight="1" x14ac:dyDescent="0.25">
      <c r="A19" s="39"/>
      <c r="B19" s="13" t="s">
        <v>142</v>
      </c>
      <c r="C19" s="14" t="s">
        <v>134</v>
      </c>
      <c r="D19" s="15" t="s">
        <v>84</v>
      </c>
      <c r="E19" s="16"/>
      <c r="F19" s="17">
        <v>6</v>
      </c>
      <c r="G19" s="17">
        <v>643.83000000000004</v>
      </c>
      <c r="H19" s="17">
        <f>C14*G19+G19</f>
        <v>643.83000000000004</v>
      </c>
      <c r="I19" s="40">
        <f>F19*H19</f>
        <v>3862.9800000000005</v>
      </c>
    </row>
    <row r="20" spans="1:9" x14ac:dyDescent="0.25">
      <c r="A20" s="18" t="s">
        <v>34</v>
      </c>
      <c r="B20" s="19"/>
      <c r="C20" s="20" t="s">
        <v>91</v>
      </c>
      <c r="D20" s="20" t="s">
        <v>3</v>
      </c>
      <c r="E20" s="21"/>
      <c r="F20" s="22">
        <v>5</v>
      </c>
      <c r="G20" s="22"/>
      <c r="H20" s="23"/>
      <c r="I20" s="24">
        <f>SUM(I24:I34)</f>
        <v>3561.6765</v>
      </c>
    </row>
    <row r="21" spans="1:9" x14ac:dyDescent="0.25">
      <c r="A21" s="25"/>
      <c r="B21" s="26"/>
      <c r="C21" s="27" t="s">
        <v>4</v>
      </c>
      <c r="D21" s="27" t="s">
        <v>5</v>
      </c>
      <c r="E21" s="28">
        <v>3.61</v>
      </c>
      <c r="F21" s="29"/>
      <c r="G21" s="30" t="s">
        <v>1</v>
      </c>
      <c r="H21" s="31"/>
      <c r="I21" s="32" t="str">
        <f>IF(ISBLANK(B21)," ",E21*G21)</f>
        <v xml:space="preserve"> </v>
      </c>
    </row>
    <row r="22" spans="1:9" x14ac:dyDescent="0.25">
      <c r="A22" s="25"/>
      <c r="B22" s="26"/>
      <c r="C22" s="27" t="s">
        <v>36</v>
      </c>
      <c r="D22" s="27" t="s">
        <v>6</v>
      </c>
      <c r="E22" s="28">
        <v>2.5</v>
      </c>
      <c r="F22" s="29"/>
      <c r="G22" s="30" t="s">
        <v>1</v>
      </c>
      <c r="H22" s="31"/>
      <c r="I22" s="32" t="str">
        <f>IF(ISBLANK(B22)," ",E22*G22)</f>
        <v xml:space="preserve"> </v>
      </c>
    </row>
    <row r="23" spans="1:9" x14ac:dyDescent="0.25">
      <c r="A23" s="25"/>
      <c r="B23" s="26"/>
      <c r="C23" s="27" t="s">
        <v>7</v>
      </c>
      <c r="D23" s="27"/>
      <c r="E23" s="28"/>
      <c r="F23" s="30"/>
      <c r="G23" s="30"/>
      <c r="H23" s="31"/>
      <c r="I23" s="32"/>
    </row>
    <row r="24" spans="1:9" ht="34.5" customHeight="1" x14ac:dyDescent="0.25">
      <c r="A24" s="2" t="s">
        <v>37</v>
      </c>
      <c r="B24" s="3" t="s">
        <v>8</v>
      </c>
      <c r="C24" s="4" t="s">
        <v>9</v>
      </c>
      <c r="D24" s="4" t="s">
        <v>10</v>
      </c>
      <c r="E24" s="5">
        <f>TRUNC(+E22,2)</f>
        <v>2.5</v>
      </c>
      <c r="F24" s="6">
        <f>E24*F20</f>
        <v>12.5</v>
      </c>
      <c r="G24" s="7">
        <v>6.7</v>
      </c>
      <c r="H24" s="12">
        <f>C14*G24+G24</f>
        <v>6.7</v>
      </c>
      <c r="I24" s="8">
        <f>F24*H24</f>
        <v>83.75</v>
      </c>
    </row>
    <row r="25" spans="1:9" ht="24" customHeight="1" x14ac:dyDescent="0.25">
      <c r="A25" s="2" t="s">
        <v>38</v>
      </c>
      <c r="B25" s="3" t="s">
        <v>11</v>
      </c>
      <c r="C25" s="4" t="s">
        <v>12</v>
      </c>
      <c r="D25" s="4" t="s">
        <v>13</v>
      </c>
      <c r="E25" s="5">
        <f>TRUNC(+E24*0.3*0.1,2)</f>
        <v>7.0000000000000007E-2</v>
      </c>
      <c r="F25" s="6">
        <f>E25*F20</f>
        <v>0.35000000000000003</v>
      </c>
      <c r="G25" s="7">
        <v>184.25</v>
      </c>
      <c r="H25" s="12">
        <f>C14*G25+G25</f>
        <v>184.25</v>
      </c>
      <c r="I25" s="8">
        <f>F25*H25</f>
        <v>64.487500000000011</v>
      </c>
    </row>
    <row r="26" spans="1:9" ht="35.25" customHeight="1" x14ac:dyDescent="0.25">
      <c r="A26" s="2" t="s">
        <v>39</v>
      </c>
      <c r="B26" s="3" t="s">
        <v>14</v>
      </c>
      <c r="C26" s="4" t="s">
        <v>15</v>
      </c>
      <c r="D26" s="4" t="s">
        <v>13</v>
      </c>
      <c r="E26" s="5">
        <f>TRUNC(E21*(0.15),2)</f>
        <v>0.54</v>
      </c>
      <c r="F26" s="6">
        <f>E26*F20</f>
        <v>2.7</v>
      </c>
      <c r="G26" s="7">
        <v>50.25</v>
      </c>
      <c r="H26" s="12">
        <f>C14*G26+G26</f>
        <v>50.25</v>
      </c>
      <c r="I26" s="8">
        <f>F26*H26</f>
        <v>135.67500000000001</v>
      </c>
    </row>
    <row r="27" spans="1:9" ht="47.25" customHeight="1" x14ac:dyDescent="0.25">
      <c r="A27" s="2" t="s">
        <v>40</v>
      </c>
      <c r="B27" s="3" t="s">
        <v>16</v>
      </c>
      <c r="C27" s="4" t="s">
        <v>17</v>
      </c>
      <c r="D27" s="4" t="s">
        <v>13</v>
      </c>
      <c r="E27" s="5">
        <f>TRUNC((+E26*1.3)+(E25+E24*0.15*0.46)*1.2,2)</f>
        <v>0.99</v>
      </c>
      <c r="F27" s="6">
        <f>E27*F20</f>
        <v>4.95</v>
      </c>
      <c r="G27" s="7">
        <v>88.24</v>
      </c>
      <c r="H27" s="12">
        <f>C14*G27+G27</f>
        <v>88.24</v>
      </c>
      <c r="I27" s="8">
        <f t="shared" ref="I27:I34" si="0">F27*H27</f>
        <v>436.78800000000001</v>
      </c>
    </row>
    <row r="28" spans="1:9" ht="25.5" customHeight="1" x14ac:dyDescent="0.25">
      <c r="A28" s="2" t="s">
        <v>41</v>
      </c>
      <c r="B28" s="3" t="s">
        <v>18</v>
      </c>
      <c r="C28" s="4" t="s">
        <v>19</v>
      </c>
      <c r="D28" s="4" t="s">
        <v>13</v>
      </c>
      <c r="E28" s="5">
        <f>TRUNC(E21*0.03,2)</f>
        <v>0.1</v>
      </c>
      <c r="F28" s="6">
        <f>E28*F20</f>
        <v>0.5</v>
      </c>
      <c r="G28" s="7">
        <v>139.27000000000001</v>
      </c>
      <c r="H28" s="12">
        <f>C14*G28+G28</f>
        <v>139.27000000000001</v>
      </c>
      <c r="I28" s="8">
        <f t="shared" si="0"/>
        <v>69.635000000000005</v>
      </c>
    </row>
    <row r="29" spans="1:9" ht="21.75" customHeight="1" x14ac:dyDescent="0.25">
      <c r="A29" s="2" t="s">
        <v>42</v>
      </c>
      <c r="B29" s="3" t="s">
        <v>20</v>
      </c>
      <c r="C29" s="4" t="s">
        <v>21</v>
      </c>
      <c r="D29" s="4" t="s">
        <v>22</v>
      </c>
      <c r="E29" s="5">
        <f>TRUNC(0.97*E21,2)</f>
        <v>3.5</v>
      </c>
      <c r="F29" s="6">
        <f>E29*F20</f>
        <v>17.5</v>
      </c>
      <c r="G29" s="7">
        <v>13.86</v>
      </c>
      <c r="H29" s="12">
        <f>C14*G29+G29</f>
        <v>13.86</v>
      </c>
      <c r="I29" s="8">
        <f t="shared" si="0"/>
        <v>242.54999999999998</v>
      </c>
    </row>
    <row r="30" spans="1:9" ht="34.5" customHeight="1" x14ac:dyDescent="0.25">
      <c r="A30" s="2" t="s">
        <v>43</v>
      </c>
      <c r="B30" s="3" t="s">
        <v>23</v>
      </c>
      <c r="C30" s="4" t="s">
        <v>24</v>
      </c>
      <c r="D30" s="4" t="s">
        <v>13</v>
      </c>
      <c r="E30" s="5">
        <f>TRUNC(E21*0.07,2)</f>
        <v>0.25</v>
      </c>
      <c r="F30" s="6">
        <f>E30*F20</f>
        <v>1.25</v>
      </c>
      <c r="G30" s="7">
        <v>816.06</v>
      </c>
      <c r="H30" s="12">
        <f>C14*G30+G30</f>
        <v>816.06</v>
      </c>
      <c r="I30" s="8">
        <f t="shared" si="0"/>
        <v>1020.0749999999999</v>
      </c>
    </row>
    <row r="31" spans="1:9" ht="21.75" customHeight="1" x14ac:dyDescent="0.25">
      <c r="A31" s="2" t="s">
        <v>44</v>
      </c>
      <c r="B31" s="3" t="s">
        <v>25</v>
      </c>
      <c r="C31" s="4" t="s">
        <v>26</v>
      </c>
      <c r="D31" s="4" t="s">
        <v>27</v>
      </c>
      <c r="E31" s="5">
        <f>TRUNC(E21-E32,2)</f>
        <v>2.8</v>
      </c>
      <c r="F31" s="6">
        <f>E31*F20</f>
        <v>14</v>
      </c>
      <c r="G31" s="7">
        <v>28.43</v>
      </c>
      <c r="H31" s="12">
        <f>C14*G31+G31</f>
        <v>28.43</v>
      </c>
      <c r="I31" s="8">
        <f t="shared" si="0"/>
        <v>398.02</v>
      </c>
    </row>
    <row r="32" spans="1:9" ht="35.25" customHeight="1" x14ac:dyDescent="0.25">
      <c r="A32" s="2" t="s">
        <v>45</v>
      </c>
      <c r="B32" s="3" t="s">
        <v>28</v>
      </c>
      <c r="C32" s="4" t="s">
        <v>29</v>
      </c>
      <c r="D32" s="4" t="s">
        <v>27</v>
      </c>
      <c r="E32" s="5">
        <f>TRUNC(0.3*0.3*9,2)</f>
        <v>0.81</v>
      </c>
      <c r="F32" s="6">
        <f>E32*F20</f>
        <v>4.0500000000000007</v>
      </c>
      <c r="G32" s="7">
        <v>177.44</v>
      </c>
      <c r="H32" s="12">
        <f>C14*G32+G32</f>
        <v>177.44</v>
      </c>
      <c r="I32" s="8">
        <f t="shared" si="0"/>
        <v>718.63200000000006</v>
      </c>
    </row>
    <row r="33" spans="1:9" ht="34.5" customHeight="1" x14ac:dyDescent="0.25">
      <c r="A33" s="2" t="s">
        <v>46</v>
      </c>
      <c r="B33" s="3" t="s">
        <v>30</v>
      </c>
      <c r="C33" s="4" t="s">
        <v>31</v>
      </c>
      <c r="D33" s="4" t="s">
        <v>13</v>
      </c>
      <c r="E33" s="5">
        <f>TRUNC(+E24*0.3*0.1,2)</f>
        <v>7.0000000000000007E-2</v>
      </c>
      <c r="F33" s="6">
        <f>E33*F20</f>
        <v>0.35000000000000003</v>
      </c>
      <c r="G33" s="7">
        <v>465.54</v>
      </c>
      <c r="H33" s="12">
        <f>C14*G33+G33</f>
        <v>465.54</v>
      </c>
      <c r="I33" s="8">
        <f t="shared" si="0"/>
        <v>162.93900000000002</v>
      </c>
    </row>
    <row r="34" spans="1:9" ht="21" customHeight="1" x14ac:dyDescent="0.25">
      <c r="A34" s="2" t="s">
        <v>47</v>
      </c>
      <c r="B34" s="3" t="s">
        <v>32</v>
      </c>
      <c r="C34" s="4" t="s">
        <v>33</v>
      </c>
      <c r="D34" s="4" t="s">
        <v>10</v>
      </c>
      <c r="E34" s="5">
        <f>+E24</f>
        <v>2.5</v>
      </c>
      <c r="F34" s="6">
        <f>E34*F20</f>
        <v>12.5</v>
      </c>
      <c r="G34" s="7">
        <v>18.329999999999998</v>
      </c>
      <c r="H34" s="12">
        <f>C14*G34+G34</f>
        <v>18.329999999999998</v>
      </c>
      <c r="I34" s="8">
        <f t="shared" si="0"/>
        <v>229.12499999999997</v>
      </c>
    </row>
    <row r="35" spans="1:9" ht="33.75" customHeight="1" x14ac:dyDescent="0.25">
      <c r="A35" s="18" t="s">
        <v>48</v>
      </c>
      <c r="B35" s="19"/>
      <c r="C35" s="20" t="s">
        <v>80</v>
      </c>
      <c r="D35" s="20" t="s">
        <v>3</v>
      </c>
      <c r="E35" s="21"/>
      <c r="F35" s="22">
        <f>2+1</f>
        <v>3</v>
      </c>
      <c r="G35" s="22"/>
      <c r="H35" s="23"/>
      <c r="I35" s="24">
        <f>SUM(I39:I49)</f>
        <v>4091.3967750000002</v>
      </c>
    </row>
    <row r="36" spans="1:9" x14ac:dyDescent="0.25">
      <c r="A36" s="33"/>
      <c r="B36" s="34"/>
      <c r="C36" s="27" t="s">
        <v>35</v>
      </c>
      <c r="D36" s="27" t="s">
        <v>6</v>
      </c>
      <c r="E36" s="28">
        <v>1.5</v>
      </c>
      <c r="F36" s="35"/>
      <c r="G36" s="36"/>
      <c r="H36" s="37"/>
      <c r="I36" s="38" t="str">
        <f>IF(ISBLANK(B36)," ",E36*G36)</f>
        <v xml:space="preserve"> </v>
      </c>
    </row>
    <row r="37" spans="1:9" x14ac:dyDescent="0.25">
      <c r="A37" s="33"/>
      <c r="B37" s="34"/>
      <c r="C37" s="27" t="s">
        <v>36</v>
      </c>
      <c r="D37" s="27" t="s">
        <v>6</v>
      </c>
      <c r="E37" s="28">
        <v>5.7</v>
      </c>
      <c r="F37" s="35"/>
      <c r="G37" s="36"/>
      <c r="H37" s="37"/>
      <c r="I37" s="38" t="str">
        <f>IF(ISBLANK(B37)," ",E37*G37)</f>
        <v xml:space="preserve"> </v>
      </c>
    </row>
    <row r="38" spans="1:9" x14ac:dyDescent="0.25">
      <c r="A38" s="25"/>
      <c r="B38" s="26"/>
      <c r="C38" s="27" t="s">
        <v>7</v>
      </c>
      <c r="D38" s="27"/>
      <c r="E38" s="28"/>
      <c r="F38" s="30"/>
      <c r="G38" s="30"/>
      <c r="H38" s="31"/>
      <c r="I38" s="32"/>
    </row>
    <row r="39" spans="1:9" ht="38.25" customHeight="1" x14ac:dyDescent="0.25">
      <c r="A39" s="2" t="s">
        <v>37</v>
      </c>
      <c r="B39" s="3" t="s">
        <v>8</v>
      </c>
      <c r="C39" s="4" t="s">
        <v>9</v>
      </c>
      <c r="D39" s="4" t="s">
        <v>10</v>
      </c>
      <c r="E39" s="5">
        <f>TRUNC(+E37,2)</f>
        <v>5.7</v>
      </c>
      <c r="F39" s="6">
        <f>E39*F35</f>
        <v>17.100000000000001</v>
      </c>
      <c r="G39" s="7">
        <v>6.7</v>
      </c>
      <c r="H39" s="12">
        <f>C14*G39+G39</f>
        <v>6.7</v>
      </c>
      <c r="I39" s="8">
        <f t="shared" ref="I39:I49" si="1">F39*H39</f>
        <v>114.57000000000001</v>
      </c>
    </row>
    <row r="40" spans="1:9" ht="23.25" customHeight="1" x14ac:dyDescent="0.25">
      <c r="A40" s="2" t="s">
        <v>38</v>
      </c>
      <c r="B40" s="3" t="s">
        <v>11</v>
      </c>
      <c r="C40" s="4" t="s">
        <v>12</v>
      </c>
      <c r="D40" s="4" t="s">
        <v>13</v>
      </c>
      <c r="E40" s="5">
        <f>TRUNC(+E39*0.3*0.1,2)</f>
        <v>0.17</v>
      </c>
      <c r="F40" s="6">
        <f>E40*F35</f>
        <v>0.51</v>
      </c>
      <c r="G40" s="7">
        <v>184.25</v>
      </c>
      <c r="H40" s="12">
        <f>C14*G40+G40</f>
        <v>184.25</v>
      </c>
      <c r="I40" s="8">
        <f t="shared" si="1"/>
        <v>93.967500000000001</v>
      </c>
    </row>
    <row r="41" spans="1:9" ht="30.75" customHeight="1" x14ac:dyDescent="0.25">
      <c r="A41" s="2" t="s">
        <v>39</v>
      </c>
      <c r="B41" s="3" t="s">
        <v>14</v>
      </c>
      <c r="C41" s="4" t="s">
        <v>15</v>
      </c>
      <c r="D41" s="4" t="s">
        <v>13</v>
      </c>
      <c r="E41" s="5">
        <f>E36*E37*0.15</f>
        <v>1.2825</v>
      </c>
      <c r="F41" s="6">
        <f>E41*F35</f>
        <v>3.8475000000000001</v>
      </c>
      <c r="G41" s="7">
        <v>50.25</v>
      </c>
      <c r="H41" s="12">
        <f>C14*G41+G41</f>
        <v>50.25</v>
      </c>
      <c r="I41" s="8">
        <f t="shared" si="1"/>
        <v>193.33687500000002</v>
      </c>
    </row>
    <row r="42" spans="1:9" ht="57.75" customHeight="1" x14ac:dyDescent="0.25">
      <c r="A42" s="2" t="s">
        <v>40</v>
      </c>
      <c r="B42" s="3" t="s">
        <v>16</v>
      </c>
      <c r="C42" s="4" t="s">
        <v>17</v>
      </c>
      <c r="D42" s="4" t="s">
        <v>13</v>
      </c>
      <c r="E42" s="5">
        <f>TRUNC((+E41*1.3)+(E40+E39*0.15*0.46)*1.2,2)</f>
        <v>2.34</v>
      </c>
      <c r="F42" s="6">
        <f>E42*F35</f>
        <v>7.02</v>
      </c>
      <c r="G42" s="7">
        <v>88.24</v>
      </c>
      <c r="H42" s="12">
        <f>C14*G42+G42</f>
        <v>88.24</v>
      </c>
      <c r="I42" s="8">
        <f t="shared" si="1"/>
        <v>619.44479999999987</v>
      </c>
    </row>
    <row r="43" spans="1:9" ht="24.75" customHeight="1" x14ac:dyDescent="0.25">
      <c r="A43" s="2" t="s">
        <v>41</v>
      </c>
      <c r="B43" s="3" t="s">
        <v>18</v>
      </c>
      <c r="C43" s="4" t="s">
        <v>19</v>
      </c>
      <c r="D43" s="4" t="s">
        <v>13</v>
      </c>
      <c r="E43" s="5">
        <f>TRUNC(+E37*E36*0.03,2)</f>
        <v>0.25</v>
      </c>
      <c r="F43" s="6">
        <f>E43*F35</f>
        <v>0.75</v>
      </c>
      <c r="G43" s="7">
        <v>139.27000000000001</v>
      </c>
      <c r="H43" s="12">
        <f>C14*G43+G43</f>
        <v>139.27000000000001</v>
      </c>
      <c r="I43" s="8">
        <f t="shared" si="1"/>
        <v>104.45250000000001</v>
      </c>
    </row>
    <row r="44" spans="1:9" ht="22.5" customHeight="1" x14ac:dyDescent="0.25">
      <c r="A44" s="2" t="s">
        <v>42</v>
      </c>
      <c r="B44" s="3" t="s">
        <v>20</v>
      </c>
      <c r="C44" s="4" t="s">
        <v>21</v>
      </c>
      <c r="D44" s="4" t="s">
        <v>22</v>
      </c>
      <c r="E44" s="5">
        <f>TRUNC(0.97*E37*E36,2)</f>
        <v>8.2899999999999991</v>
      </c>
      <c r="F44" s="6">
        <f>E44*F35</f>
        <v>24.869999999999997</v>
      </c>
      <c r="G44" s="7">
        <v>13.86</v>
      </c>
      <c r="H44" s="12">
        <f>C14*G44+G44</f>
        <v>13.86</v>
      </c>
      <c r="I44" s="8">
        <f t="shared" si="1"/>
        <v>344.69819999999993</v>
      </c>
    </row>
    <row r="45" spans="1:9" ht="37.5" customHeight="1" x14ac:dyDescent="0.25">
      <c r="A45" s="2" t="s">
        <v>43</v>
      </c>
      <c r="B45" s="3" t="s">
        <v>23</v>
      </c>
      <c r="C45" s="4" t="s">
        <v>24</v>
      </c>
      <c r="D45" s="4" t="s">
        <v>13</v>
      </c>
      <c r="E45" s="5">
        <f>TRUNC(++E37*E36*0.05,2)</f>
        <v>0.42</v>
      </c>
      <c r="F45" s="6">
        <f>E45*F35</f>
        <v>1.26</v>
      </c>
      <c r="G45" s="7">
        <v>816.06</v>
      </c>
      <c r="H45" s="12">
        <f>C14*G45+G45</f>
        <v>816.06</v>
      </c>
      <c r="I45" s="8">
        <f t="shared" si="1"/>
        <v>1028.2356</v>
      </c>
    </row>
    <row r="46" spans="1:9" ht="21" customHeight="1" x14ac:dyDescent="0.25">
      <c r="A46" s="2" t="s">
        <v>44</v>
      </c>
      <c r="B46" s="3" t="s">
        <v>25</v>
      </c>
      <c r="C46" s="4" t="s">
        <v>26</v>
      </c>
      <c r="D46" s="4" t="s">
        <v>27</v>
      </c>
      <c r="E46" s="5">
        <f>TRUNC(E36*E37-E47,2)</f>
        <v>7.2</v>
      </c>
      <c r="F46" s="6">
        <f>E46*F35</f>
        <v>21.6</v>
      </c>
      <c r="G46" s="7">
        <v>28.43</v>
      </c>
      <c r="H46" s="12">
        <f>C14*G46+G46</f>
        <v>28.43</v>
      </c>
      <c r="I46" s="8">
        <f t="shared" si="1"/>
        <v>614.08800000000008</v>
      </c>
    </row>
    <row r="47" spans="1:9" ht="39.75" customHeight="1" x14ac:dyDescent="0.25">
      <c r="A47" s="2" t="s">
        <v>45</v>
      </c>
      <c r="B47" s="3" t="s">
        <v>28</v>
      </c>
      <c r="C47" s="4" t="s">
        <v>29</v>
      </c>
      <c r="D47" s="4" t="s">
        <v>27</v>
      </c>
      <c r="E47" s="5">
        <f>15*0.3*0.3</f>
        <v>1.3499999999999999</v>
      </c>
      <c r="F47" s="6">
        <f>E47*F35</f>
        <v>4.05</v>
      </c>
      <c r="G47" s="7">
        <v>177.44</v>
      </c>
      <c r="H47" s="12">
        <f>C14*G47+G47</f>
        <v>177.44</v>
      </c>
      <c r="I47" s="8">
        <f t="shared" si="1"/>
        <v>718.63199999999995</v>
      </c>
    </row>
    <row r="48" spans="1:9" ht="34.5" customHeight="1" x14ac:dyDescent="0.25">
      <c r="A48" s="2" t="s">
        <v>46</v>
      </c>
      <c r="B48" s="3" t="s">
        <v>30</v>
      </c>
      <c r="C48" s="4" t="s">
        <v>31</v>
      </c>
      <c r="D48" s="4" t="s">
        <v>13</v>
      </c>
      <c r="E48" s="5">
        <f>TRUNC(+E39*0.3*0.1,2)</f>
        <v>0.17</v>
      </c>
      <c r="F48" s="6">
        <f>E48*F35</f>
        <v>0.51</v>
      </c>
      <c r="G48" s="7">
        <v>465.54</v>
      </c>
      <c r="H48" s="12">
        <f>C14*G48+G48</f>
        <v>465.54</v>
      </c>
      <c r="I48" s="8">
        <f t="shared" si="1"/>
        <v>237.42540000000002</v>
      </c>
    </row>
    <row r="49" spans="1:9" ht="23.25" customHeight="1" x14ac:dyDescent="0.25">
      <c r="A49" s="2" t="s">
        <v>47</v>
      </c>
      <c r="B49" s="3" t="s">
        <v>32</v>
      </c>
      <c r="C49" s="4" t="s">
        <v>33</v>
      </c>
      <c r="D49" s="4" t="s">
        <v>10</v>
      </c>
      <c r="E49" s="5">
        <f>TRUNC(+E39*(0.3*0.1+0.3*0.14),2)</f>
        <v>0.41</v>
      </c>
      <c r="F49" s="6">
        <f>E49*F35</f>
        <v>1.23</v>
      </c>
      <c r="G49" s="7">
        <v>18.329999999999998</v>
      </c>
      <c r="H49" s="12">
        <f>C14*G49+G49</f>
        <v>18.329999999999998</v>
      </c>
      <c r="I49" s="8">
        <f t="shared" si="1"/>
        <v>22.545899999999996</v>
      </c>
    </row>
    <row r="50" spans="1:9" ht="23.25" customHeight="1" x14ac:dyDescent="0.25">
      <c r="A50" s="18" t="s">
        <v>48</v>
      </c>
      <c r="B50" s="19"/>
      <c r="C50" s="20" t="s">
        <v>81</v>
      </c>
      <c r="D50" s="20" t="s">
        <v>3</v>
      </c>
      <c r="E50" s="21"/>
      <c r="F50" s="22">
        <v>2</v>
      </c>
      <c r="G50" s="22"/>
      <c r="H50" s="23"/>
      <c r="I50" s="24">
        <f>SUM(I54:I64)</f>
        <v>4352.2488999999996</v>
      </c>
    </row>
    <row r="51" spans="1:9" ht="17.25" customHeight="1" x14ac:dyDescent="0.25">
      <c r="A51" s="33"/>
      <c r="B51" s="34"/>
      <c r="C51" s="27" t="s">
        <v>35</v>
      </c>
      <c r="D51" s="27" t="s">
        <v>6</v>
      </c>
      <c r="E51" s="28">
        <v>2.6</v>
      </c>
      <c r="F51" s="35"/>
      <c r="G51" s="36"/>
      <c r="H51" s="37"/>
      <c r="I51" s="38" t="str">
        <f>IF(ISBLANK(B51)," ",E51*G51)</f>
        <v xml:space="preserve"> </v>
      </c>
    </row>
    <row r="52" spans="1:9" ht="19.5" customHeight="1" x14ac:dyDescent="0.25">
      <c r="A52" s="33"/>
      <c r="B52" s="34"/>
      <c r="C52" s="27" t="s">
        <v>36</v>
      </c>
      <c r="D52" s="27" t="s">
        <v>6</v>
      </c>
      <c r="E52" s="28">
        <v>5.7</v>
      </c>
      <c r="F52" s="35"/>
      <c r="G52" s="36"/>
      <c r="H52" s="37"/>
      <c r="I52" s="38" t="str">
        <f>IF(ISBLANK(B52)," ",E52*G52)</f>
        <v xml:space="preserve"> </v>
      </c>
    </row>
    <row r="53" spans="1:9" ht="17.25" customHeight="1" x14ac:dyDescent="0.25">
      <c r="A53" s="25"/>
      <c r="B53" s="26"/>
      <c r="C53" s="27" t="s">
        <v>7</v>
      </c>
      <c r="D53" s="27"/>
      <c r="E53" s="28"/>
      <c r="F53" s="30"/>
      <c r="G53" s="30"/>
      <c r="H53" s="31"/>
      <c r="I53" s="32"/>
    </row>
    <row r="54" spans="1:9" ht="23.25" customHeight="1" x14ac:dyDescent="0.25">
      <c r="A54" s="2" t="s">
        <v>50</v>
      </c>
      <c r="B54" s="3" t="s">
        <v>8</v>
      </c>
      <c r="C54" s="4" t="s">
        <v>9</v>
      </c>
      <c r="D54" s="4" t="s">
        <v>10</v>
      </c>
      <c r="E54" s="5">
        <f>TRUNC(+E52,2)</f>
        <v>5.7</v>
      </c>
      <c r="F54" s="6">
        <f>E54*F50</f>
        <v>11.4</v>
      </c>
      <c r="G54" s="7">
        <v>6.7</v>
      </c>
      <c r="H54" s="12">
        <f>C14*G54+G54</f>
        <v>6.7</v>
      </c>
      <c r="I54" s="8">
        <f t="shared" ref="I54:I64" si="2">F54*H54</f>
        <v>76.38000000000001</v>
      </c>
    </row>
    <row r="55" spans="1:9" ht="23.25" customHeight="1" x14ac:dyDescent="0.25">
      <c r="A55" s="2" t="s">
        <v>51</v>
      </c>
      <c r="B55" s="3" t="s">
        <v>11</v>
      </c>
      <c r="C55" s="4" t="s">
        <v>12</v>
      </c>
      <c r="D55" s="4" t="s">
        <v>13</v>
      </c>
      <c r="E55" s="5">
        <f>TRUNC(+E54*0.3*0.1,2)</f>
        <v>0.17</v>
      </c>
      <c r="F55" s="6">
        <f>E55*F50</f>
        <v>0.34</v>
      </c>
      <c r="G55" s="7">
        <v>184.25</v>
      </c>
      <c r="H55" s="12">
        <f>C14*G55+G55</f>
        <v>184.25</v>
      </c>
      <c r="I55" s="8">
        <f t="shared" si="2"/>
        <v>62.645000000000003</v>
      </c>
    </row>
    <row r="56" spans="1:9" ht="23.25" customHeight="1" x14ac:dyDescent="0.25">
      <c r="A56" s="2" t="s">
        <v>52</v>
      </c>
      <c r="B56" s="3" t="s">
        <v>14</v>
      </c>
      <c r="C56" s="4" t="s">
        <v>15</v>
      </c>
      <c r="D56" s="4" t="s">
        <v>13</v>
      </c>
      <c r="E56" s="5">
        <f>E51*E52*0.15</f>
        <v>2.2229999999999999</v>
      </c>
      <c r="F56" s="6">
        <f>E56*F50</f>
        <v>4.4459999999999997</v>
      </c>
      <c r="G56" s="7">
        <v>50.25</v>
      </c>
      <c r="H56" s="12">
        <f>C14*G56+G56</f>
        <v>50.25</v>
      </c>
      <c r="I56" s="8">
        <f t="shared" si="2"/>
        <v>223.41149999999999</v>
      </c>
    </row>
    <row r="57" spans="1:9" ht="23.25" customHeight="1" x14ac:dyDescent="0.25">
      <c r="A57" s="2" t="s">
        <v>53</v>
      </c>
      <c r="B57" s="3" t="s">
        <v>16</v>
      </c>
      <c r="C57" s="4" t="s">
        <v>17</v>
      </c>
      <c r="D57" s="4" t="s">
        <v>13</v>
      </c>
      <c r="E57" s="5">
        <f>TRUNC((+E56*1.3)+(E55+E54*0.15*0.46)*1.2,2)</f>
        <v>3.56</v>
      </c>
      <c r="F57" s="6">
        <f>E57*F50</f>
        <v>7.12</v>
      </c>
      <c r="G57" s="7">
        <v>88.24</v>
      </c>
      <c r="H57" s="12">
        <f>C14*G57+G57</f>
        <v>88.24</v>
      </c>
      <c r="I57" s="8">
        <f t="shared" si="2"/>
        <v>628.26879999999994</v>
      </c>
    </row>
    <row r="58" spans="1:9" ht="23.25" customHeight="1" x14ac:dyDescent="0.25">
      <c r="A58" s="2" t="s">
        <v>54</v>
      </c>
      <c r="B58" s="3" t="s">
        <v>18</v>
      </c>
      <c r="C58" s="4" t="s">
        <v>19</v>
      </c>
      <c r="D58" s="4" t="s">
        <v>13</v>
      </c>
      <c r="E58" s="5">
        <f>TRUNC(+E52*E51*0.03,2)</f>
        <v>0.44</v>
      </c>
      <c r="F58" s="6">
        <f>E58*F50</f>
        <v>0.88</v>
      </c>
      <c r="G58" s="7">
        <v>139.27000000000001</v>
      </c>
      <c r="H58" s="12">
        <f>C14*G58+G58</f>
        <v>139.27000000000001</v>
      </c>
      <c r="I58" s="8">
        <f t="shared" si="2"/>
        <v>122.55760000000001</v>
      </c>
    </row>
    <row r="59" spans="1:9" ht="23.25" customHeight="1" x14ac:dyDescent="0.25">
      <c r="A59" s="2" t="s">
        <v>55</v>
      </c>
      <c r="B59" s="3" t="s">
        <v>20</v>
      </c>
      <c r="C59" s="4" t="s">
        <v>21</v>
      </c>
      <c r="D59" s="4" t="s">
        <v>22</v>
      </c>
      <c r="E59" s="5">
        <f>TRUNC(0.97*E52*E51,2)</f>
        <v>14.37</v>
      </c>
      <c r="F59" s="6">
        <f>E59*F50</f>
        <v>28.74</v>
      </c>
      <c r="G59" s="7">
        <v>13.86</v>
      </c>
      <c r="H59" s="12">
        <f>C14*G59+G59</f>
        <v>13.86</v>
      </c>
      <c r="I59" s="8">
        <f t="shared" si="2"/>
        <v>398.33639999999997</v>
      </c>
    </row>
    <row r="60" spans="1:9" ht="23.25" customHeight="1" x14ac:dyDescent="0.25">
      <c r="A60" s="2" t="s">
        <v>93</v>
      </c>
      <c r="B60" s="3" t="s">
        <v>23</v>
      </c>
      <c r="C60" s="4" t="s">
        <v>24</v>
      </c>
      <c r="D60" s="4" t="s">
        <v>13</v>
      </c>
      <c r="E60" s="5">
        <f>TRUNC(++E52*E51*0.05,2)</f>
        <v>0.74</v>
      </c>
      <c r="F60" s="6">
        <f>E60*F50</f>
        <v>1.48</v>
      </c>
      <c r="G60" s="7">
        <v>816.06</v>
      </c>
      <c r="H60" s="12">
        <f>C14*G60+G60</f>
        <v>816.06</v>
      </c>
      <c r="I60" s="8">
        <f t="shared" si="2"/>
        <v>1207.7687999999998</v>
      </c>
    </row>
    <row r="61" spans="1:9" ht="23.25" customHeight="1" x14ac:dyDescent="0.25">
      <c r="A61" s="2" t="s">
        <v>94</v>
      </c>
      <c r="B61" s="3" t="s">
        <v>25</v>
      </c>
      <c r="C61" s="4" t="s">
        <v>26</v>
      </c>
      <c r="D61" s="4" t="s">
        <v>27</v>
      </c>
      <c r="E61" s="5">
        <f>TRUNC(E51*E52-E62,2)</f>
        <v>12.75</v>
      </c>
      <c r="F61" s="6">
        <f>E61*F50</f>
        <v>25.5</v>
      </c>
      <c r="G61" s="7">
        <v>28.43</v>
      </c>
      <c r="H61" s="12">
        <f>C14*G61+G61</f>
        <v>28.43</v>
      </c>
      <c r="I61" s="8">
        <f t="shared" si="2"/>
        <v>724.96500000000003</v>
      </c>
    </row>
    <row r="62" spans="1:9" ht="31.5" customHeight="1" x14ac:dyDescent="0.25">
      <c r="A62" s="2" t="s">
        <v>95</v>
      </c>
      <c r="B62" s="3" t="s">
        <v>28</v>
      </c>
      <c r="C62" s="4" t="s">
        <v>29</v>
      </c>
      <c r="D62" s="4" t="s">
        <v>27</v>
      </c>
      <c r="E62" s="5">
        <f>23*0.3*0.3</f>
        <v>2.0699999999999998</v>
      </c>
      <c r="F62" s="6">
        <f>E62*F50</f>
        <v>4.1399999999999997</v>
      </c>
      <c r="G62" s="7">
        <v>177.44</v>
      </c>
      <c r="H62" s="12">
        <f>C14*G62+G62</f>
        <v>177.44</v>
      </c>
      <c r="I62" s="8">
        <f t="shared" si="2"/>
        <v>734.60159999999996</v>
      </c>
    </row>
    <row r="63" spans="1:9" ht="33" customHeight="1" x14ac:dyDescent="0.25">
      <c r="A63" s="2" t="s">
        <v>96</v>
      </c>
      <c r="B63" s="3" t="s">
        <v>30</v>
      </c>
      <c r="C63" s="4" t="s">
        <v>31</v>
      </c>
      <c r="D63" s="4" t="s">
        <v>13</v>
      </c>
      <c r="E63" s="5">
        <f>TRUNC(+E54*0.3*0.1,2)</f>
        <v>0.17</v>
      </c>
      <c r="F63" s="6">
        <f>E63*F50</f>
        <v>0.34</v>
      </c>
      <c r="G63" s="7">
        <v>465.54</v>
      </c>
      <c r="H63" s="12">
        <f>C14*G63+G63</f>
        <v>465.54</v>
      </c>
      <c r="I63" s="8">
        <f t="shared" si="2"/>
        <v>158.28360000000001</v>
      </c>
    </row>
    <row r="64" spans="1:9" ht="23.25" customHeight="1" x14ac:dyDescent="0.25">
      <c r="A64" s="2" t="s">
        <v>97</v>
      </c>
      <c r="B64" s="3" t="s">
        <v>32</v>
      </c>
      <c r="C64" s="4" t="s">
        <v>33</v>
      </c>
      <c r="D64" s="4" t="s">
        <v>10</v>
      </c>
      <c r="E64" s="5">
        <f>TRUNC(+E54*(0.3*0.1+0.3*0.14),2)</f>
        <v>0.41</v>
      </c>
      <c r="F64" s="6">
        <f>E64*F50</f>
        <v>0.82</v>
      </c>
      <c r="G64" s="7">
        <v>18.329999999999998</v>
      </c>
      <c r="H64" s="12">
        <f>C14*G64+G64</f>
        <v>18.329999999999998</v>
      </c>
      <c r="I64" s="8">
        <f t="shared" si="2"/>
        <v>15.030599999999998</v>
      </c>
    </row>
    <row r="65" spans="1:9" ht="23.25" customHeight="1" x14ac:dyDescent="0.25">
      <c r="A65" s="18" t="s">
        <v>56</v>
      </c>
      <c r="B65" s="19"/>
      <c r="C65" s="20" t="s">
        <v>82</v>
      </c>
      <c r="D65" s="20" t="s">
        <v>3</v>
      </c>
      <c r="E65" s="21"/>
      <c r="F65" s="22">
        <v>14</v>
      </c>
      <c r="G65" s="22"/>
      <c r="H65" s="23"/>
      <c r="I65" s="24">
        <f>SUM(I69:I79)</f>
        <v>24383.503199999996</v>
      </c>
    </row>
    <row r="66" spans="1:9" ht="17.25" customHeight="1" x14ac:dyDescent="0.25">
      <c r="A66" s="33"/>
      <c r="B66" s="34"/>
      <c r="C66" s="27" t="s">
        <v>35</v>
      </c>
      <c r="D66" s="27" t="s">
        <v>6</v>
      </c>
      <c r="E66" s="28">
        <v>2</v>
      </c>
      <c r="F66" s="35"/>
      <c r="G66" s="36"/>
      <c r="H66" s="37"/>
      <c r="I66" s="38" t="str">
        <f>IF(ISBLANK(B66)," ",E66*G66)</f>
        <v xml:space="preserve"> </v>
      </c>
    </row>
    <row r="67" spans="1:9" ht="17.25" customHeight="1" x14ac:dyDescent="0.25">
      <c r="A67" s="33"/>
      <c r="B67" s="34"/>
      <c r="C67" s="27" t="s">
        <v>36</v>
      </c>
      <c r="D67" s="27" t="s">
        <v>6</v>
      </c>
      <c r="E67" s="28">
        <v>5.7</v>
      </c>
      <c r="F67" s="35"/>
      <c r="G67" s="36"/>
      <c r="H67" s="37"/>
      <c r="I67" s="38" t="str">
        <f>IF(ISBLANK(B67)," ",E67*G67)</f>
        <v xml:space="preserve"> </v>
      </c>
    </row>
    <row r="68" spans="1:9" ht="17.25" customHeight="1" x14ac:dyDescent="0.25">
      <c r="A68" s="25"/>
      <c r="B68" s="26"/>
      <c r="C68" s="27" t="s">
        <v>7</v>
      </c>
      <c r="D68" s="27"/>
      <c r="E68" s="28"/>
      <c r="F68" s="30"/>
      <c r="G68" s="30"/>
      <c r="H68" s="31"/>
      <c r="I68" s="32"/>
    </row>
    <row r="69" spans="1:9" ht="23.25" customHeight="1" x14ac:dyDescent="0.25">
      <c r="A69" s="2" t="s">
        <v>58</v>
      </c>
      <c r="B69" s="3" t="s">
        <v>8</v>
      </c>
      <c r="C69" s="4" t="s">
        <v>9</v>
      </c>
      <c r="D69" s="4" t="s">
        <v>10</v>
      </c>
      <c r="E69" s="5">
        <f>TRUNC(+E67,2)</f>
        <v>5.7</v>
      </c>
      <c r="F69" s="6">
        <f>E69*F65</f>
        <v>79.8</v>
      </c>
      <c r="G69" s="7">
        <v>6.7</v>
      </c>
      <c r="H69" s="12">
        <f>C14*G69+G69</f>
        <v>6.7</v>
      </c>
      <c r="I69" s="8">
        <f t="shared" ref="I69:I79" si="3">F69*H69</f>
        <v>534.66</v>
      </c>
    </row>
    <row r="70" spans="1:9" ht="23.25" customHeight="1" x14ac:dyDescent="0.25">
      <c r="A70" s="2" t="s">
        <v>98</v>
      </c>
      <c r="B70" s="3" t="s">
        <v>11</v>
      </c>
      <c r="C70" s="4" t="s">
        <v>12</v>
      </c>
      <c r="D70" s="4" t="s">
        <v>13</v>
      </c>
      <c r="E70" s="5">
        <f>TRUNC(+E69*0.3*0.1,2)</f>
        <v>0.17</v>
      </c>
      <c r="F70" s="6">
        <f>E70*F65</f>
        <v>2.3800000000000003</v>
      </c>
      <c r="G70" s="7">
        <v>184.25</v>
      </c>
      <c r="H70" s="12">
        <f>C14*G70+G70</f>
        <v>184.25</v>
      </c>
      <c r="I70" s="8">
        <f t="shared" si="3"/>
        <v>438.51500000000004</v>
      </c>
    </row>
    <row r="71" spans="1:9" ht="23.25" customHeight="1" x14ac:dyDescent="0.25">
      <c r="A71" s="2" t="s">
        <v>99</v>
      </c>
      <c r="B71" s="3" t="s">
        <v>14</v>
      </c>
      <c r="C71" s="4" t="s">
        <v>15</v>
      </c>
      <c r="D71" s="4" t="s">
        <v>13</v>
      </c>
      <c r="E71" s="5">
        <f>E66*E67*0.15</f>
        <v>1.71</v>
      </c>
      <c r="F71" s="6">
        <f>E71*F65</f>
        <v>23.939999999999998</v>
      </c>
      <c r="G71" s="7">
        <v>50.25</v>
      </c>
      <c r="H71" s="12">
        <f>C14*G71+G71</f>
        <v>50.25</v>
      </c>
      <c r="I71" s="8">
        <f t="shared" si="3"/>
        <v>1202.9849999999999</v>
      </c>
    </row>
    <row r="72" spans="1:9" ht="23.25" customHeight="1" x14ac:dyDescent="0.25">
      <c r="A72" s="2" t="s">
        <v>100</v>
      </c>
      <c r="B72" s="3" t="s">
        <v>16</v>
      </c>
      <c r="C72" s="4" t="s">
        <v>17</v>
      </c>
      <c r="D72" s="4" t="s">
        <v>13</v>
      </c>
      <c r="E72" s="5">
        <f>TRUNC((+E71*1.3)+(E70+E69*0.15*0.46)*1.2,2)</f>
        <v>2.89</v>
      </c>
      <c r="F72" s="6">
        <f>E72*F65</f>
        <v>40.46</v>
      </c>
      <c r="G72" s="7">
        <v>88.24</v>
      </c>
      <c r="H72" s="12">
        <f>C14*G72+G72</f>
        <v>88.24</v>
      </c>
      <c r="I72" s="8">
        <f t="shared" si="3"/>
        <v>3570.1904</v>
      </c>
    </row>
    <row r="73" spans="1:9" ht="23.25" customHeight="1" x14ac:dyDescent="0.25">
      <c r="A73" s="2" t="s">
        <v>101</v>
      </c>
      <c r="B73" s="3" t="s">
        <v>18</v>
      </c>
      <c r="C73" s="4" t="s">
        <v>19</v>
      </c>
      <c r="D73" s="4" t="s">
        <v>13</v>
      </c>
      <c r="E73" s="5">
        <f>TRUNC(+E67*E66*0.03,2)</f>
        <v>0.34</v>
      </c>
      <c r="F73" s="6">
        <f>E73*F65</f>
        <v>4.7600000000000007</v>
      </c>
      <c r="G73" s="7">
        <v>139.27000000000001</v>
      </c>
      <c r="H73" s="12">
        <f>C14*G73+G73</f>
        <v>139.27000000000001</v>
      </c>
      <c r="I73" s="8">
        <f t="shared" si="3"/>
        <v>662.92520000000013</v>
      </c>
    </row>
    <row r="74" spans="1:9" ht="23.25" customHeight="1" x14ac:dyDescent="0.25">
      <c r="A74" s="2" t="s">
        <v>102</v>
      </c>
      <c r="B74" s="3" t="s">
        <v>20</v>
      </c>
      <c r="C74" s="4" t="s">
        <v>21</v>
      </c>
      <c r="D74" s="4" t="s">
        <v>22</v>
      </c>
      <c r="E74" s="5">
        <f>TRUNC(0.97*E67*E66,2)</f>
        <v>11.05</v>
      </c>
      <c r="F74" s="6">
        <f>E74*F65</f>
        <v>154.70000000000002</v>
      </c>
      <c r="G74" s="7">
        <v>13.86</v>
      </c>
      <c r="H74" s="12">
        <f>C14*G74+G74</f>
        <v>13.86</v>
      </c>
      <c r="I74" s="8">
        <f t="shared" si="3"/>
        <v>2144.1420000000003</v>
      </c>
    </row>
    <row r="75" spans="1:9" ht="23.25" customHeight="1" x14ac:dyDescent="0.25">
      <c r="A75" s="2" t="s">
        <v>103</v>
      </c>
      <c r="B75" s="3" t="s">
        <v>23</v>
      </c>
      <c r="C75" s="4" t="s">
        <v>24</v>
      </c>
      <c r="D75" s="4" t="s">
        <v>13</v>
      </c>
      <c r="E75" s="5">
        <f>TRUNC(++E67*E66*0.05,2)</f>
        <v>0.56999999999999995</v>
      </c>
      <c r="F75" s="6">
        <f>E75*F65</f>
        <v>7.9799999999999995</v>
      </c>
      <c r="G75" s="7">
        <v>816.06</v>
      </c>
      <c r="H75" s="12">
        <f>C14*G75+G75</f>
        <v>816.06</v>
      </c>
      <c r="I75" s="8">
        <f t="shared" si="3"/>
        <v>6512.1587999999992</v>
      </c>
    </row>
    <row r="76" spans="1:9" ht="23.25" customHeight="1" x14ac:dyDescent="0.25">
      <c r="A76" s="2" t="s">
        <v>104</v>
      </c>
      <c r="B76" s="3" t="s">
        <v>25</v>
      </c>
      <c r="C76" s="4" t="s">
        <v>26</v>
      </c>
      <c r="D76" s="4" t="s">
        <v>27</v>
      </c>
      <c r="E76" s="5">
        <f>TRUNC(E66*E67-E77,2)</f>
        <v>9.69</v>
      </c>
      <c r="F76" s="6">
        <f>E76*F65</f>
        <v>135.66</v>
      </c>
      <c r="G76" s="7">
        <v>28.43</v>
      </c>
      <c r="H76" s="12">
        <f>C14*G76+G76</f>
        <v>28.43</v>
      </c>
      <c r="I76" s="8">
        <f t="shared" si="3"/>
        <v>3856.8137999999999</v>
      </c>
    </row>
    <row r="77" spans="1:9" ht="23.25" customHeight="1" x14ac:dyDescent="0.25">
      <c r="A77" s="2" t="s">
        <v>105</v>
      </c>
      <c r="B77" s="3" t="s">
        <v>28</v>
      </c>
      <c r="C77" s="4" t="s">
        <v>29</v>
      </c>
      <c r="D77" s="4" t="s">
        <v>27</v>
      </c>
      <c r="E77" s="5">
        <f>19*0.3*0.3</f>
        <v>1.71</v>
      </c>
      <c r="F77" s="6">
        <f>E77*F65</f>
        <v>23.939999999999998</v>
      </c>
      <c r="G77" s="7">
        <v>177.44</v>
      </c>
      <c r="H77" s="12">
        <f>C14*G77+G77</f>
        <v>177.44</v>
      </c>
      <c r="I77" s="8">
        <f t="shared" si="3"/>
        <v>4247.9135999999999</v>
      </c>
    </row>
    <row r="78" spans="1:9" ht="23.25" customHeight="1" x14ac:dyDescent="0.25">
      <c r="A78" s="2" t="s">
        <v>106</v>
      </c>
      <c r="B78" s="3" t="s">
        <v>30</v>
      </c>
      <c r="C78" s="4" t="s">
        <v>31</v>
      </c>
      <c r="D78" s="4" t="s">
        <v>13</v>
      </c>
      <c r="E78" s="5">
        <f>TRUNC(+E69*0.3*0.1,2)</f>
        <v>0.17</v>
      </c>
      <c r="F78" s="6">
        <f>E78*F65</f>
        <v>2.3800000000000003</v>
      </c>
      <c r="G78" s="7">
        <v>465.54</v>
      </c>
      <c r="H78" s="12">
        <f>C14*G78+G78</f>
        <v>465.54</v>
      </c>
      <c r="I78" s="8">
        <f t="shared" si="3"/>
        <v>1107.9852000000003</v>
      </c>
    </row>
    <row r="79" spans="1:9" ht="23.25" customHeight="1" x14ac:dyDescent="0.25">
      <c r="A79" s="2" t="s">
        <v>107</v>
      </c>
      <c r="B79" s="3" t="s">
        <v>32</v>
      </c>
      <c r="C79" s="4" t="s">
        <v>33</v>
      </c>
      <c r="D79" s="4" t="s">
        <v>10</v>
      </c>
      <c r="E79" s="5">
        <f>TRUNC(+E69*(0.3*0.1+0.3*0.14),2)</f>
        <v>0.41</v>
      </c>
      <c r="F79" s="6">
        <f>E79*F65</f>
        <v>5.7399999999999993</v>
      </c>
      <c r="G79" s="7">
        <v>18.329999999999998</v>
      </c>
      <c r="H79" s="12">
        <f>C14*G79+G79</f>
        <v>18.329999999999998</v>
      </c>
      <c r="I79" s="8">
        <f t="shared" si="3"/>
        <v>105.21419999999998</v>
      </c>
    </row>
    <row r="80" spans="1:9" ht="18.75" customHeight="1" x14ac:dyDescent="0.25">
      <c r="A80" s="18" t="s">
        <v>59</v>
      </c>
      <c r="B80" s="19"/>
      <c r="C80" s="20" t="s">
        <v>92</v>
      </c>
      <c r="D80" s="20" t="s">
        <v>3</v>
      </c>
      <c r="E80" s="21"/>
      <c r="F80" s="22">
        <v>1</v>
      </c>
      <c r="G80" s="22"/>
      <c r="H80" s="23"/>
      <c r="I80" s="24">
        <f>SUM(I84:I94)</f>
        <v>1676.580725</v>
      </c>
    </row>
    <row r="81" spans="1:9" ht="18.75" customHeight="1" x14ac:dyDescent="0.25">
      <c r="A81" s="33"/>
      <c r="B81" s="34"/>
      <c r="C81" s="27" t="s">
        <v>35</v>
      </c>
      <c r="D81" s="27" t="s">
        <v>6</v>
      </c>
      <c r="E81" s="28">
        <v>1.9</v>
      </c>
      <c r="F81" s="35"/>
      <c r="G81" s="36"/>
      <c r="H81" s="37"/>
      <c r="I81" s="38" t="str">
        <f>IF(ISBLANK(B81)," ",E81*G81)</f>
        <v xml:space="preserve"> </v>
      </c>
    </row>
    <row r="82" spans="1:9" ht="18" customHeight="1" x14ac:dyDescent="0.25">
      <c r="A82" s="33"/>
      <c r="B82" s="34"/>
      <c r="C82" s="27" t="s">
        <v>36</v>
      </c>
      <c r="D82" s="27" t="s">
        <v>6</v>
      </c>
      <c r="E82" s="28">
        <v>5.7</v>
      </c>
      <c r="F82" s="35"/>
      <c r="G82" s="36"/>
      <c r="H82" s="37"/>
      <c r="I82" s="38" t="str">
        <f>IF(ISBLANK(B82)," ",E82*G82)</f>
        <v xml:space="preserve"> </v>
      </c>
    </row>
    <row r="83" spans="1:9" ht="18" customHeight="1" x14ac:dyDescent="0.25">
      <c r="A83" s="25"/>
      <c r="B83" s="26"/>
      <c r="C83" s="27" t="s">
        <v>7</v>
      </c>
      <c r="D83" s="27"/>
      <c r="E83" s="28"/>
      <c r="F83" s="30"/>
      <c r="G83" s="30"/>
      <c r="H83" s="31"/>
      <c r="I83" s="32"/>
    </row>
    <row r="84" spans="1:9" ht="23.25" customHeight="1" x14ac:dyDescent="0.25">
      <c r="A84" s="2" t="s">
        <v>60</v>
      </c>
      <c r="B84" s="3" t="s">
        <v>8</v>
      </c>
      <c r="C84" s="4" t="s">
        <v>9</v>
      </c>
      <c r="D84" s="4" t="s">
        <v>10</v>
      </c>
      <c r="E84" s="5">
        <f>TRUNC(+E82,2)</f>
        <v>5.7</v>
      </c>
      <c r="F84" s="6">
        <f>E84*F80</f>
        <v>5.7</v>
      </c>
      <c r="G84" s="7">
        <v>6.7</v>
      </c>
      <c r="H84" s="12">
        <f>C14*G84+G84</f>
        <v>6.7</v>
      </c>
      <c r="I84" s="8">
        <f t="shared" ref="I84:I94" si="4">F84*H84</f>
        <v>38.190000000000005</v>
      </c>
    </row>
    <row r="85" spans="1:9" ht="23.25" customHeight="1" x14ac:dyDescent="0.25">
      <c r="A85" s="2" t="s">
        <v>61</v>
      </c>
      <c r="B85" s="3" t="s">
        <v>11</v>
      </c>
      <c r="C85" s="4" t="s">
        <v>12</v>
      </c>
      <c r="D85" s="4" t="s">
        <v>13</v>
      </c>
      <c r="E85" s="5">
        <f>TRUNC(+E84*0.3*0.1,2)</f>
        <v>0.17</v>
      </c>
      <c r="F85" s="6">
        <f>E85*F80</f>
        <v>0.17</v>
      </c>
      <c r="G85" s="7">
        <v>184.25</v>
      </c>
      <c r="H85" s="12">
        <f>C14*G85+G85</f>
        <v>184.25</v>
      </c>
      <c r="I85" s="8">
        <f t="shared" si="4"/>
        <v>31.322500000000002</v>
      </c>
    </row>
    <row r="86" spans="1:9" ht="23.25" customHeight="1" x14ac:dyDescent="0.25">
      <c r="A86" s="2" t="s">
        <v>62</v>
      </c>
      <c r="B86" s="3" t="s">
        <v>14</v>
      </c>
      <c r="C86" s="4" t="s">
        <v>15</v>
      </c>
      <c r="D86" s="4" t="s">
        <v>13</v>
      </c>
      <c r="E86" s="5">
        <f>E81*E82*0.15</f>
        <v>1.6245000000000001</v>
      </c>
      <c r="F86" s="6">
        <f>E86*F80</f>
        <v>1.6245000000000001</v>
      </c>
      <c r="G86" s="7">
        <v>50.25</v>
      </c>
      <c r="H86" s="12">
        <f>C14*G86+G86</f>
        <v>50.25</v>
      </c>
      <c r="I86" s="8">
        <f t="shared" si="4"/>
        <v>81.631124999999997</v>
      </c>
    </row>
    <row r="87" spans="1:9" ht="23.25" customHeight="1" x14ac:dyDescent="0.25">
      <c r="A87" s="2" t="s">
        <v>65</v>
      </c>
      <c r="B87" s="3" t="s">
        <v>16</v>
      </c>
      <c r="C87" s="4" t="s">
        <v>17</v>
      </c>
      <c r="D87" s="4" t="s">
        <v>13</v>
      </c>
      <c r="E87" s="5">
        <f>TRUNC((+E86*1.3)+(E85+E84*0.15*0.46)*1.2,2)</f>
        <v>2.78</v>
      </c>
      <c r="F87" s="6">
        <f>E87*F80</f>
        <v>2.78</v>
      </c>
      <c r="G87" s="7">
        <v>88.24</v>
      </c>
      <c r="H87" s="12">
        <f>C14*G87+G87</f>
        <v>88.24</v>
      </c>
      <c r="I87" s="8">
        <f t="shared" si="4"/>
        <v>245.30719999999997</v>
      </c>
    </row>
    <row r="88" spans="1:9" ht="23.25" customHeight="1" x14ac:dyDescent="0.25">
      <c r="A88" s="2" t="s">
        <v>108</v>
      </c>
      <c r="B88" s="3" t="s">
        <v>18</v>
      </c>
      <c r="C88" s="4" t="s">
        <v>19</v>
      </c>
      <c r="D88" s="4" t="s">
        <v>13</v>
      </c>
      <c r="E88" s="5">
        <f>TRUNC(+E82*E81*0.03,2)</f>
        <v>0.32</v>
      </c>
      <c r="F88" s="6">
        <f>E88*F80</f>
        <v>0.32</v>
      </c>
      <c r="G88" s="7">
        <v>139.27000000000001</v>
      </c>
      <c r="H88" s="12">
        <f>C14*G88+G88</f>
        <v>139.27000000000001</v>
      </c>
      <c r="I88" s="8">
        <f t="shared" si="4"/>
        <v>44.566400000000002</v>
      </c>
    </row>
    <row r="89" spans="1:9" ht="23.25" customHeight="1" x14ac:dyDescent="0.25">
      <c r="A89" s="2" t="s">
        <v>109</v>
      </c>
      <c r="B89" s="3" t="s">
        <v>20</v>
      </c>
      <c r="C89" s="4" t="s">
        <v>21</v>
      </c>
      <c r="D89" s="4" t="s">
        <v>22</v>
      </c>
      <c r="E89" s="5">
        <f>TRUNC(0.97*E82*E81,2)</f>
        <v>10.5</v>
      </c>
      <c r="F89" s="6">
        <f>E89*F80</f>
        <v>10.5</v>
      </c>
      <c r="G89" s="7">
        <v>13.86</v>
      </c>
      <c r="H89" s="12">
        <f>C14*G89+G89</f>
        <v>13.86</v>
      </c>
      <c r="I89" s="8">
        <f t="shared" si="4"/>
        <v>145.53</v>
      </c>
    </row>
    <row r="90" spans="1:9" ht="23.25" customHeight="1" x14ac:dyDescent="0.25">
      <c r="A90" s="2" t="s">
        <v>110</v>
      </c>
      <c r="B90" s="3" t="s">
        <v>23</v>
      </c>
      <c r="C90" s="4" t="s">
        <v>24</v>
      </c>
      <c r="D90" s="4" t="s">
        <v>13</v>
      </c>
      <c r="E90" s="5">
        <f>TRUNC(++E82*E81*0.05,2)</f>
        <v>0.54</v>
      </c>
      <c r="F90" s="6">
        <f>E90*F80</f>
        <v>0.54</v>
      </c>
      <c r="G90" s="7">
        <v>816.06</v>
      </c>
      <c r="H90" s="12">
        <f>C14*G90+G90</f>
        <v>816.06</v>
      </c>
      <c r="I90" s="8">
        <f t="shared" si="4"/>
        <v>440.67239999999998</v>
      </c>
    </row>
    <row r="91" spans="1:9" ht="23.25" customHeight="1" x14ac:dyDescent="0.25">
      <c r="A91" s="2" t="s">
        <v>111</v>
      </c>
      <c r="B91" s="3" t="s">
        <v>25</v>
      </c>
      <c r="C91" s="4" t="s">
        <v>26</v>
      </c>
      <c r="D91" s="4" t="s">
        <v>27</v>
      </c>
      <c r="E91" s="5">
        <f>TRUNC(E81*E82-E92,2)</f>
        <v>9.1199999999999992</v>
      </c>
      <c r="F91" s="6">
        <f>E91*F80</f>
        <v>9.1199999999999992</v>
      </c>
      <c r="G91" s="7">
        <v>28.43</v>
      </c>
      <c r="H91" s="12">
        <f>C14*G91+G91</f>
        <v>28.43</v>
      </c>
      <c r="I91" s="8">
        <f t="shared" si="4"/>
        <v>259.28159999999997</v>
      </c>
    </row>
    <row r="92" spans="1:9" ht="23.25" customHeight="1" x14ac:dyDescent="0.25">
      <c r="A92" s="2" t="s">
        <v>112</v>
      </c>
      <c r="B92" s="3" t="s">
        <v>28</v>
      </c>
      <c r="C92" s="4" t="s">
        <v>29</v>
      </c>
      <c r="D92" s="4" t="s">
        <v>27</v>
      </c>
      <c r="E92" s="5">
        <f>19*0.3*0.3</f>
        <v>1.71</v>
      </c>
      <c r="F92" s="6">
        <f>E92*F80</f>
        <v>1.71</v>
      </c>
      <c r="G92" s="7">
        <v>177.44</v>
      </c>
      <c r="H92" s="12">
        <f>C14*G92+G92</f>
        <v>177.44</v>
      </c>
      <c r="I92" s="8">
        <f t="shared" si="4"/>
        <v>303.42239999999998</v>
      </c>
    </row>
    <row r="93" spans="1:9" ht="23.25" customHeight="1" x14ac:dyDescent="0.25">
      <c r="A93" s="2" t="s">
        <v>113</v>
      </c>
      <c r="B93" s="3" t="s">
        <v>30</v>
      </c>
      <c r="C93" s="4" t="s">
        <v>31</v>
      </c>
      <c r="D93" s="4" t="s">
        <v>13</v>
      </c>
      <c r="E93" s="5">
        <f>TRUNC(+E84*0.3*0.1,2)</f>
        <v>0.17</v>
      </c>
      <c r="F93" s="6">
        <f>E93*F80</f>
        <v>0.17</v>
      </c>
      <c r="G93" s="7">
        <v>465.54</v>
      </c>
      <c r="H93" s="12">
        <f>C14*G93+G93</f>
        <v>465.54</v>
      </c>
      <c r="I93" s="8">
        <f t="shared" si="4"/>
        <v>79.141800000000003</v>
      </c>
    </row>
    <row r="94" spans="1:9" ht="23.25" customHeight="1" x14ac:dyDescent="0.25">
      <c r="A94" s="2" t="s">
        <v>114</v>
      </c>
      <c r="B94" s="3" t="s">
        <v>32</v>
      </c>
      <c r="C94" s="4" t="s">
        <v>33</v>
      </c>
      <c r="D94" s="4" t="s">
        <v>10</v>
      </c>
      <c r="E94" s="5">
        <f>TRUNC(+E84*(0.3*0.1+0.3*0.14),2)</f>
        <v>0.41</v>
      </c>
      <c r="F94" s="6">
        <f>E94*F80</f>
        <v>0.41</v>
      </c>
      <c r="G94" s="7">
        <v>18.329999999999998</v>
      </c>
      <c r="H94" s="12">
        <f>C14*G94+G94</f>
        <v>18.329999999999998</v>
      </c>
      <c r="I94" s="8">
        <f t="shared" si="4"/>
        <v>7.515299999999999</v>
      </c>
    </row>
    <row r="95" spans="1:9" ht="17.25" customHeight="1" x14ac:dyDescent="0.25">
      <c r="A95" s="18" t="s">
        <v>66</v>
      </c>
      <c r="B95" s="19"/>
      <c r="C95" s="20" t="s">
        <v>83</v>
      </c>
      <c r="D95" s="20" t="s">
        <v>3</v>
      </c>
      <c r="E95" s="21"/>
      <c r="F95" s="22">
        <v>1</v>
      </c>
      <c r="G95" s="22"/>
      <c r="H95" s="23"/>
      <c r="I95" s="24">
        <f>SUM(I99:I109)</f>
        <v>3035.1402749999997</v>
      </c>
    </row>
    <row r="96" spans="1:9" ht="16.5" customHeight="1" x14ac:dyDescent="0.25">
      <c r="A96" s="33"/>
      <c r="B96" s="34"/>
      <c r="C96" s="27" t="s">
        <v>35</v>
      </c>
      <c r="D96" s="27" t="s">
        <v>6</v>
      </c>
      <c r="E96" s="28">
        <v>2.6</v>
      </c>
      <c r="F96" s="35"/>
      <c r="G96" s="36"/>
      <c r="H96" s="37"/>
      <c r="I96" s="38" t="str">
        <f>IF(ISBLANK(B96)," ",E96*G96)</f>
        <v xml:space="preserve"> </v>
      </c>
    </row>
    <row r="97" spans="1:9" ht="16.5" customHeight="1" x14ac:dyDescent="0.25">
      <c r="A97" s="33"/>
      <c r="B97" s="34"/>
      <c r="C97" s="27" t="s">
        <v>36</v>
      </c>
      <c r="D97" s="27" t="s">
        <v>6</v>
      </c>
      <c r="E97" s="28">
        <v>9.57</v>
      </c>
      <c r="F97" s="35"/>
      <c r="G97" s="36"/>
      <c r="H97" s="37"/>
      <c r="I97" s="38" t="str">
        <f>IF(ISBLANK(B97)," ",E97*G97)</f>
        <v xml:space="preserve"> </v>
      </c>
    </row>
    <row r="98" spans="1:9" ht="16.5" customHeight="1" x14ac:dyDescent="0.25">
      <c r="A98" s="25"/>
      <c r="B98" s="26"/>
      <c r="C98" s="27" t="s">
        <v>7</v>
      </c>
      <c r="D98" s="27" t="s">
        <v>84</v>
      </c>
      <c r="E98" s="28">
        <v>20.05</v>
      </c>
      <c r="F98" s="30"/>
      <c r="G98" s="30"/>
      <c r="H98" s="31"/>
      <c r="I98" s="32"/>
    </row>
    <row r="99" spans="1:9" ht="23.25" customHeight="1" x14ac:dyDescent="0.25">
      <c r="A99" s="2" t="s">
        <v>67</v>
      </c>
      <c r="B99" s="3" t="s">
        <v>8</v>
      </c>
      <c r="C99" s="4" t="s">
        <v>9</v>
      </c>
      <c r="D99" s="4" t="s">
        <v>10</v>
      </c>
      <c r="E99" s="5">
        <f>TRUNC(+E97,2)</f>
        <v>9.57</v>
      </c>
      <c r="F99" s="6">
        <f>E99*F95</f>
        <v>9.57</v>
      </c>
      <c r="G99" s="7">
        <v>6.7</v>
      </c>
      <c r="H99" s="12">
        <f>C14*G99+G99</f>
        <v>6.7</v>
      </c>
      <c r="I99" s="8">
        <f t="shared" ref="I99:I109" si="5">F99*H99</f>
        <v>64.119</v>
      </c>
    </row>
    <row r="100" spans="1:9" ht="23.25" customHeight="1" x14ac:dyDescent="0.25">
      <c r="A100" s="2" t="s">
        <v>68</v>
      </c>
      <c r="B100" s="3" t="s">
        <v>11</v>
      </c>
      <c r="C100" s="4" t="s">
        <v>12</v>
      </c>
      <c r="D100" s="4" t="s">
        <v>13</v>
      </c>
      <c r="E100" s="5">
        <f>TRUNC(+E99*0.3*0.1,2)</f>
        <v>0.28000000000000003</v>
      </c>
      <c r="F100" s="6">
        <f>E100*F95</f>
        <v>0.28000000000000003</v>
      </c>
      <c r="G100" s="7">
        <v>184.25</v>
      </c>
      <c r="H100" s="12">
        <f>C14*G100+G100</f>
        <v>184.25</v>
      </c>
      <c r="I100" s="8">
        <f t="shared" si="5"/>
        <v>51.59</v>
      </c>
    </row>
    <row r="101" spans="1:9" ht="27" customHeight="1" x14ac:dyDescent="0.25">
      <c r="A101" s="2" t="s">
        <v>69</v>
      </c>
      <c r="B101" s="3" t="s">
        <v>14</v>
      </c>
      <c r="C101" s="4" t="s">
        <v>15</v>
      </c>
      <c r="D101" s="4" t="s">
        <v>13</v>
      </c>
      <c r="E101" s="5">
        <f>E98*0.15</f>
        <v>3.0074999999999998</v>
      </c>
      <c r="F101" s="6">
        <f>E101*F95</f>
        <v>3.0074999999999998</v>
      </c>
      <c r="G101" s="7">
        <v>50.25</v>
      </c>
      <c r="H101" s="12">
        <f>C14*G101+G101</f>
        <v>50.25</v>
      </c>
      <c r="I101" s="8">
        <f t="shared" si="5"/>
        <v>151.12687499999998</v>
      </c>
    </row>
    <row r="102" spans="1:9" ht="23.25" customHeight="1" x14ac:dyDescent="0.25">
      <c r="A102" s="2" t="s">
        <v>70</v>
      </c>
      <c r="B102" s="3" t="s">
        <v>16</v>
      </c>
      <c r="C102" s="4" t="s">
        <v>17</v>
      </c>
      <c r="D102" s="4" t="s">
        <v>13</v>
      </c>
      <c r="E102" s="5">
        <f>TRUNC((+E101*1.3)+(E100+E99*0.15*0.46)*1.2,2)</f>
        <v>5.03</v>
      </c>
      <c r="F102" s="6">
        <f>E102*F95</f>
        <v>5.03</v>
      </c>
      <c r="G102" s="7">
        <v>88.24</v>
      </c>
      <c r="H102" s="12">
        <f>C14*G102+G102</f>
        <v>88.24</v>
      </c>
      <c r="I102" s="8">
        <f t="shared" si="5"/>
        <v>443.84719999999999</v>
      </c>
    </row>
    <row r="103" spans="1:9" ht="23.25" customHeight="1" x14ac:dyDescent="0.25">
      <c r="A103" s="2" t="s">
        <v>71</v>
      </c>
      <c r="B103" s="3" t="s">
        <v>18</v>
      </c>
      <c r="C103" s="4" t="s">
        <v>19</v>
      </c>
      <c r="D103" s="4" t="s">
        <v>13</v>
      </c>
      <c r="E103" s="5">
        <f>TRUNC(+E98*0.03,2)</f>
        <v>0.6</v>
      </c>
      <c r="F103" s="6">
        <f>E103*F95</f>
        <v>0.6</v>
      </c>
      <c r="G103" s="7">
        <v>139.27000000000001</v>
      </c>
      <c r="H103" s="12">
        <f>C14*G103+G103</f>
        <v>139.27000000000001</v>
      </c>
      <c r="I103" s="8">
        <f t="shared" si="5"/>
        <v>83.561999999999998</v>
      </c>
    </row>
    <row r="104" spans="1:9" ht="23.25" customHeight="1" x14ac:dyDescent="0.25">
      <c r="A104" s="2" t="s">
        <v>72</v>
      </c>
      <c r="B104" s="3" t="s">
        <v>20</v>
      </c>
      <c r="C104" s="4" t="s">
        <v>21</v>
      </c>
      <c r="D104" s="4" t="s">
        <v>22</v>
      </c>
      <c r="E104" s="5">
        <f>TRUNC(0.97*E98,2)</f>
        <v>19.440000000000001</v>
      </c>
      <c r="F104" s="6">
        <f>E104*F95</f>
        <v>19.440000000000001</v>
      </c>
      <c r="G104" s="7">
        <v>13.86</v>
      </c>
      <c r="H104" s="12">
        <f>C14*G104+G104</f>
        <v>13.86</v>
      </c>
      <c r="I104" s="8">
        <f t="shared" si="5"/>
        <v>269.4384</v>
      </c>
    </row>
    <row r="105" spans="1:9" ht="23.25" customHeight="1" x14ac:dyDescent="0.25">
      <c r="A105" s="2" t="s">
        <v>73</v>
      </c>
      <c r="B105" s="3" t="s">
        <v>23</v>
      </c>
      <c r="C105" s="4" t="s">
        <v>24</v>
      </c>
      <c r="D105" s="4" t="s">
        <v>13</v>
      </c>
      <c r="E105" s="5">
        <f>TRUNC(++E98*0.05,2)</f>
        <v>1</v>
      </c>
      <c r="F105" s="6">
        <f>E105*F95</f>
        <v>1</v>
      </c>
      <c r="G105" s="7">
        <v>816.06</v>
      </c>
      <c r="H105" s="12">
        <f>C14*G105+G105</f>
        <v>816.06</v>
      </c>
      <c r="I105" s="8">
        <f t="shared" si="5"/>
        <v>816.06</v>
      </c>
    </row>
    <row r="106" spans="1:9" ht="23.25" customHeight="1" x14ac:dyDescent="0.25">
      <c r="A106" s="2" t="s">
        <v>74</v>
      </c>
      <c r="B106" s="3" t="s">
        <v>25</v>
      </c>
      <c r="C106" s="4" t="s">
        <v>26</v>
      </c>
      <c r="D106" s="4" t="s">
        <v>27</v>
      </c>
      <c r="E106" s="5">
        <f>TRUNC(E98-E107,2)</f>
        <v>17.079999999999998</v>
      </c>
      <c r="F106" s="6">
        <f>E106*F95</f>
        <v>17.079999999999998</v>
      </c>
      <c r="G106" s="7">
        <v>28.43</v>
      </c>
      <c r="H106" s="12">
        <f>C14*G106+G106</f>
        <v>28.43</v>
      </c>
      <c r="I106" s="8">
        <f t="shared" si="5"/>
        <v>485.58439999999996</v>
      </c>
    </row>
    <row r="107" spans="1:9" ht="23.25" customHeight="1" x14ac:dyDescent="0.25">
      <c r="A107" s="2" t="s">
        <v>75</v>
      </c>
      <c r="B107" s="3" t="s">
        <v>28</v>
      </c>
      <c r="C107" s="4" t="s">
        <v>29</v>
      </c>
      <c r="D107" s="4" t="s">
        <v>27</v>
      </c>
      <c r="E107" s="5">
        <f>0.3*0.3*33</f>
        <v>2.9699999999999998</v>
      </c>
      <c r="F107" s="6">
        <f>E107*F95</f>
        <v>2.9699999999999998</v>
      </c>
      <c r="G107" s="7">
        <v>177.44</v>
      </c>
      <c r="H107" s="12">
        <f>C14*G107+G107</f>
        <v>177.44</v>
      </c>
      <c r="I107" s="8">
        <f t="shared" si="5"/>
        <v>526.99679999999989</v>
      </c>
    </row>
    <row r="108" spans="1:9" ht="23.25" customHeight="1" x14ac:dyDescent="0.25">
      <c r="A108" s="2" t="s">
        <v>76</v>
      </c>
      <c r="B108" s="3" t="s">
        <v>30</v>
      </c>
      <c r="C108" s="4" t="s">
        <v>31</v>
      </c>
      <c r="D108" s="4" t="s">
        <v>13</v>
      </c>
      <c r="E108" s="5">
        <f>TRUNC(+E99*0.3*0.1,2)</f>
        <v>0.28000000000000003</v>
      </c>
      <c r="F108" s="6">
        <f>E108*F95</f>
        <v>0.28000000000000003</v>
      </c>
      <c r="G108" s="7">
        <v>465.54</v>
      </c>
      <c r="H108" s="12">
        <f>C14*G108+G108</f>
        <v>465.54</v>
      </c>
      <c r="I108" s="8">
        <f t="shared" si="5"/>
        <v>130.35120000000001</v>
      </c>
    </row>
    <row r="109" spans="1:9" ht="23.25" customHeight="1" x14ac:dyDescent="0.25">
      <c r="A109" s="2" t="s">
        <v>77</v>
      </c>
      <c r="B109" s="3" t="s">
        <v>32</v>
      </c>
      <c r="C109" s="4" t="s">
        <v>33</v>
      </c>
      <c r="D109" s="4" t="s">
        <v>10</v>
      </c>
      <c r="E109" s="5">
        <f>TRUNC(+E99*(0.3*0.1+0.3*0.14),2)</f>
        <v>0.68</v>
      </c>
      <c r="F109" s="6">
        <f>E109*F95</f>
        <v>0.68</v>
      </c>
      <c r="G109" s="7">
        <v>18.329999999999998</v>
      </c>
      <c r="H109" s="12">
        <f>C14*G109+G109</f>
        <v>18.329999999999998</v>
      </c>
      <c r="I109" s="8">
        <f t="shared" si="5"/>
        <v>12.464399999999999</v>
      </c>
    </row>
    <row r="110" spans="1:9" ht="20.25" customHeight="1" x14ac:dyDescent="0.25">
      <c r="A110" s="18" t="s">
        <v>115</v>
      </c>
      <c r="B110" s="19"/>
      <c r="C110" s="20" t="s">
        <v>49</v>
      </c>
      <c r="D110" s="20" t="s">
        <v>27</v>
      </c>
      <c r="E110" s="21"/>
      <c r="F110" s="22">
        <f>763.6+1104.05</f>
        <v>1867.65</v>
      </c>
      <c r="G110" s="22">
        <v>0</v>
      </c>
      <c r="H110" s="23"/>
      <c r="I110" s="24">
        <f>SUM(I111:I116)</f>
        <v>235058.88046499999</v>
      </c>
    </row>
    <row r="111" spans="1:9" ht="27" customHeight="1" x14ac:dyDescent="0.25">
      <c r="A111" s="2" t="s">
        <v>116</v>
      </c>
      <c r="B111" s="3" t="s">
        <v>11</v>
      </c>
      <c r="C111" s="4" t="s">
        <v>12</v>
      </c>
      <c r="D111" s="4" t="s">
        <v>13</v>
      </c>
      <c r="E111" s="5">
        <f>TRUNC(1*0.08,2)</f>
        <v>0.08</v>
      </c>
      <c r="F111" s="6">
        <f>E111*F110</f>
        <v>149.41200000000001</v>
      </c>
      <c r="G111" s="7">
        <v>184.25</v>
      </c>
      <c r="H111" s="12">
        <f>C14*G111+G111</f>
        <v>184.25</v>
      </c>
      <c r="I111" s="8">
        <f t="shared" ref="I111:I116" si="6">F111*H111</f>
        <v>27529.161</v>
      </c>
    </row>
    <row r="112" spans="1:9" ht="51" customHeight="1" x14ac:dyDescent="0.25">
      <c r="A112" s="2" t="s">
        <v>117</v>
      </c>
      <c r="B112" s="3" t="s">
        <v>16</v>
      </c>
      <c r="C112" s="4" t="s">
        <v>17</v>
      </c>
      <c r="D112" s="4" t="s">
        <v>13</v>
      </c>
      <c r="E112" s="5">
        <f>TRUNC(1.2*E111,2)</f>
        <v>0.09</v>
      </c>
      <c r="F112" s="6">
        <f>E112*F110</f>
        <v>168.08850000000001</v>
      </c>
      <c r="G112" s="7">
        <v>88.24</v>
      </c>
      <c r="H112" s="12">
        <f>C14*G112+G112</f>
        <v>88.24</v>
      </c>
      <c r="I112" s="8">
        <f t="shared" si="6"/>
        <v>14832.12924</v>
      </c>
    </row>
    <row r="113" spans="1:9" ht="21" customHeight="1" x14ac:dyDescent="0.25">
      <c r="A113" s="2" t="s">
        <v>118</v>
      </c>
      <c r="B113" s="3" t="s">
        <v>18</v>
      </c>
      <c r="C113" s="4" t="s">
        <v>19</v>
      </c>
      <c r="D113" s="4" t="s">
        <v>13</v>
      </c>
      <c r="E113" s="5">
        <f>TRUNC(1*0.03,2)</f>
        <v>0.03</v>
      </c>
      <c r="F113" s="6">
        <f>E113*F110</f>
        <v>56.029499999999999</v>
      </c>
      <c r="G113" s="7">
        <v>139.27000000000001</v>
      </c>
      <c r="H113" s="12">
        <f>C14*G113+G113</f>
        <v>139.27000000000001</v>
      </c>
      <c r="I113" s="8">
        <f t="shared" si="6"/>
        <v>7803.2284650000001</v>
      </c>
    </row>
    <row r="114" spans="1:9" ht="22.5" customHeight="1" x14ac:dyDescent="0.25">
      <c r="A114" s="2" t="s">
        <v>119</v>
      </c>
      <c r="B114" s="3" t="s">
        <v>20</v>
      </c>
      <c r="C114" s="4" t="s">
        <v>21</v>
      </c>
      <c r="D114" s="4" t="s">
        <v>22</v>
      </c>
      <c r="E114" s="5">
        <f>TRUNC(1*0.97,2)</f>
        <v>0.97</v>
      </c>
      <c r="F114" s="6">
        <f>E114*F110</f>
        <v>1811.6205</v>
      </c>
      <c r="G114" s="7">
        <v>13.86</v>
      </c>
      <c r="H114" s="12">
        <f>C14*G114+G114</f>
        <v>13.86</v>
      </c>
      <c r="I114" s="8">
        <f t="shared" si="6"/>
        <v>25109.060129999998</v>
      </c>
    </row>
    <row r="115" spans="1:9" ht="35.25" customHeight="1" x14ac:dyDescent="0.25">
      <c r="A115" s="2" t="s">
        <v>120</v>
      </c>
      <c r="B115" s="3" t="s">
        <v>23</v>
      </c>
      <c r="C115" s="4" t="s">
        <v>24</v>
      </c>
      <c r="D115" s="4" t="s">
        <v>13</v>
      </c>
      <c r="E115" s="5">
        <f>TRUNC(1*0.07,2)</f>
        <v>7.0000000000000007E-2</v>
      </c>
      <c r="F115" s="6">
        <f>E115*F110</f>
        <v>130.73550000000003</v>
      </c>
      <c r="G115" s="7">
        <v>816.06</v>
      </c>
      <c r="H115" s="12">
        <f>C14*G115+G115</f>
        <v>816.06</v>
      </c>
      <c r="I115" s="8">
        <f t="shared" si="6"/>
        <v>106688.01213000002</v>
      </c>
    </row>
    <row r="116" spans="1:9" ht="22.5" customHeight="1" x14ac:dyDescent="0.25">
      <c r="A116" s="2" t="s">
        <v>121</v>
      </c>
      <c r="B116" s="3" t="s">
        <v>25</v>
      </c>
      <c r="C116" s="4" t="s">
        <v>26</v>
      </c>
      <c r="D116" s="4" t="s">
        <v>27</v>
      </c>
      <c r="E116" s="5">
        <v>1</v>
      </c>
      <c r="F116" s="6">
        <f>E116*F110</f>
        <v>1867.65</v>
      </c>
      <c r="G116" s="7">
        <v>28.43</v>
      </c>
      <c r="H116" s="12">
        <f>C14*G116+G116</f>
        <v>28.43</v>
      </c>
      <c r="I116" s="8">
        <f t="shared" si="6"/>
        <v>53097.289499999999</v>
      </c>
    </row>
    <row r="117" spans="1:9" ht="18.75" customHeight="1" x14ac:dyDescent="0.25">
      <c r="A117" s="18" t="s">
        <v>122</v>
      </c>
      <c r="B117" s="19"/>
      <c r="C117" s="20" t="s">
        <v>57</v>
      </c>
      <c r="D117" s="20" t="s">
        <v>10</v>
      </c>
      <c r="E117" s="21"/>
      <c r="F117" s="22">
        <f>280.65+566.1</f>
        <v>846.75</v>
      </c>
      <c r="G117" s="22">
        <v>0</v>
      </c>
      <c r="H117" s="23"/>
      <c r="I117" s="24">
        <f>SUM(I118)</f>
        <v>45074.195999999996</v>
      </c>
    </row>
    <row r="118" spans="1:9" ht="44.25" customHeight="1" x14ac:dyDescent="0.25">
      <c r="A118" s="2" t="s">
        <v>123</v>
      </c>
      <c r="B118" s="3" t="s">
        <v>28</v>
      </c>
      <c r="C118" s="4" t="s">
        <v>29</v>
      </c>
      <c r="D118" s="4" t="s">
        <v>27</v>
      </c>
      <c r="E118" s="5">
        <v>0.3</v>
      </c>
      <c r="F118" s="6">
        <f>E118*F117</f>
        <v>254.02499999999998</v>
      </c>
      <c r="G118" s="7">
        <v>177.44</v>
      </c>
      <c r="H118" s="12">
        <f>C14*G118+G118</f>
        <v>177.44</v>
      </c>
      <c r="I118" s="8">
        <f>F118*H118</f>
        <v>45074.195999999996</v>
      </c>
    </row>
    <row r="119" spans="1:9" ht="18.75" customHeight="1" x14ac:dyDescent="0.25">
      <c r="A119" s="18" t="s">
        <v>124</v>
      </c>
      <c r="B119" s="19"/>
      <c r="C119" s="20" t="s">
        <v>156</v>
      </c>
      <c r="D119" s="20" t="s">
        <v>10</v>
      </c>
      <c r="E119" s="21"/>
      <c r="F119" s="22">
        <f>118.4+59.08</f>
        <v>177.48000000000002</v>
      </c>
      <c r="G119" s="22">
        <v>0</v>
      </c>
      <c r="H119" s="23"/>
      <c r="I119" s="24">
        <f>SUM(I120:I124)</f>
        <v>13973.994288000002</v>
      </c>
    </row>
    <row r="120" spans="1:9" ht="21.75" customHeight="1" x14ac:dyDescent="0.25">
      <c r="A120" s="2" t="s">
        <v>125</v>
      </c>
      <c r="B120" s="63" t="s">
        <v>78</v>
      </c>
      <c r="C120" s="61" t="s">
        <v>79</v>
      </c>
      <c r="D120" s="4" t="s">
        <v>10</v>
      </c>
      <c r="E120" s="5">
        <v>2</v>
      </c>
      <c r="F120" s="6">
        <f>E120*F119</f>
        <v>354.96000000000004</v>
      </c>
      <c r="G120" s="7">
        <v>4.6500000000000004</v>
      </c>
      <c r="H120" s="12">
        <f>C14*G120+G120</f>
        <v>4.6500000000000004</v>
      </c>
      <c r="I120" s="8">
        <f>H120*F120</f>
        <v>1650.5640000000003</v>
      </c>
    </row>
    <row r="121" spans="1:9" ht="25.5" customHeight="1" x14ac:dyDescent="0.25">
      <c r="A121" s="2" t="s">
        <v>126</v>
      </c>
      <c r="B121" s="62" t="s">
        <v>158</v>
      </c>
      <c r="C121" s="4" t="s">
        <v>157</v>
      </c>
      <c r="D121" s="4" t="s">
        <v>27</v>
      </c>
      <c r="E121" s="5">
        <f>1*0.3</f>
        <v>0.3</v>
      </c>
      <c r="F121" s="6">
        <f>E121*F119</f>
        <v>53.244000000000007</v>
      </c>
      <c r="G121" s="7">
        <v>21.78</v>
      </c>
      <c r="H121" s="12">
        <f>C14*G121+G121</f>
        <v>21.78</v>
      </c>
      <c r="I121" s="8">
        <f>H121*F121</f>
        <v>1159.6543200000001</v>
      </c>
    </row>
    <row r="122" spans="1:9" ht="49.5" customHeight="1" x14ac:dyDescent="0.25">
      <c r="A122" s="2" t="s">
        <v>127</v>
      </c>
      <c r="B122" s="3" t="s">
        <v>16</v>
      </c>
      <c r="C122" s="4" t="s">
        <v>17</v>
      </c>
      <c r="D122" s="4" t="s">
        <v>13</v>
      </c>
      <c r="E122" s="5">
        <f>1*0.3*0.05</f>
        <v>1.4999999999999999E-2</v>
      </c>
      <c r="F122" s="6">
        <f>E122*F119</f>
        <v>2.6622000000000003</v>
      </c>
      <c r="G122" s="7">
        <v>88.24</v>
      </c>
      <c r="H122" s="12">
        <f>C14*G122+G122</f>
        <v>88.24</v>
      </c>
      <c r="I122" s="8">
        <f t="shared" ref="I122:I124" si="7">F122*H122</f>
        <v>234.91252800000001</v>
      </c>
    </row>
    <row r="123" spans="1:9" ht="24.75" customHeight="1" x14ac:dyDescent="0.25">
      <c r="A123" s="2" t="s">
        <v>128</v>
      </c>
      <c r="B123" s="3" t="s">
        <v>63</v>
      </c>
      <c r="C123" s="4" t="s">
        <v>64</v>
      </c>
      <c r="D123" s="4" t="s">
        <v>27</v>
      </c>
      <c r="E123" s="5">
        <v>0.3</v>
      </c>
      <c r="F123" s="6">
        <f>E123*F119</f>
        <v>53.244000000000007</v>
      </c>
      <c r="G123" s="7">
        <v>27.82</v>
      </c>
      <c r="H123" s="12">
        <f>C14*G123+G123</f>
        <v>27.82</v>
      </c>
      <c r="I123" s="8">
        <f t="shared" si="7"/>
        <v>1481.2480800000003</v>
      </c>
    </row>
    <row r="124" spans="1:9" ht="41.25" customHeight="1" x14ac:dyDescent="0.25">
      <c r="A124" s="49" t="s">
        <v>159</v>
      </c>
      <c r="B124" s="50" t="s">
        <v>28</v>
      </c>
      <c r="C124" s="51" t="s">
        <v>29</v>
      </c>
      <c r="D124" s="51" t="s">
        <v>27</v>
      </c>
      <c r="E124" s="52">
        <v>0.3</v>
      </c>
      <c r="F124" s="53">
        <f>E124*F119</f>
        <v>53.244000000000007</v>
      </c>
      <c r="G124" s="54">
        <v>177.44</v>
      </c>
      <c r="H124" s="55">
        <f>C14*G124+G124</f>
        <v>177.44</v>
      </c>
      <c r="I124" s="56">
        <f t="shared" si="7"/>
        <v>9447.6153600000016</v>
      </c>
    </row>
    <row r="125" spans="1:9" ht="17.25" customHeight="1" x14ac:dyDescent="0.25">
      <c r="A125" s="18" t="s">
        <v>129</v>
      </c>
      <c r="B125" s="19"/>
      <c r="C125" s="20" t="s">
        <v>144</v>
      </c>
      <c r="D125" s="20"/>
      <c r="E125" s="21"/>
      <c r="F125" s="22"/>
      <c r="G125" s="22"/>
      <c r="H125" s="23"/>
      <c r="I125" s="24">
        <f>I126+I127+I128</f>
        <v>880.51</v>
      </c>
    </row>
    <row r="126" spans="1:9" ht="33" customHeight="1" x14ac:dyDescent="0.25">
      <c r="A126" s="2" t="s">
        <v>130</v>
      </c>
      <c r="B126" s="3" t="s">
        <v>145</v>
      </c>
      <c r="C126" s="60" t="s">
        <v>146</v>
      </c>
      <c r="D126" s="4" t="s">
        <v>137</v>
      </c>
      <c r="E126" s="5"/>
      <c r="F126" s="6">
        <v>1</v>
      </c>
      <c r="G126" s="7">
        <v>231.23</v>
      </c>
      <c r="H126" s="7">
        <f>C14*G126+G126</f>
        <v>231.23</v>
      </c>
      <c r="I126" s="8">
        <f>H126*F126</f>
        <v>231.23</v>
      </c>
    </row>
    <row r="127" spans="1:9" ht="18.75" customHeight="1" x14ac:dyDescent="0.25">
      <c r="A127" s="2" t="s">
        <v>131</v>
      </c>
      <c r="B127" s="3" t="s">
        <v>147</v>
      </c>
      <c r="C127" s="14" t="s">
        <v>148</v>
      </c>
      <c r="D127" s="4" t="s">
        <v>137</v>
      </c>
      <c r="E127" s="5"/>
      <c r="F127" s="6">
        <v>2</v>
      </c>
      <c r="G127" s="7">
        <v>231.23</v>
      </c>
      <c r="H127" s="7">
        <f>C14*G127+G127</f>
        <v>231.23</v>
      </c>
      <c r="I127" s="8">
        <f>H127*F127</f>
        <v>462.46</v>
      </c>
    </row>
    <row r="128" spans="1:9" ht="34.5" customHeight="1" x14ac:dyDescent="0.25">
      <c r="A128" s="2" t="s">
        <v>132</v>
      </c>
      <c r="B128" s="3" t="s">
        <v>149</v>
      </c>
      <c r="C128" s="60" t="s">
        <v>150</v>
      </c>
      <c r="D128" s="4" t="s">
        <v>137</v>
      </c>
      <c r="E128" s="5"/>
      <c r="F128" s="6">
        <v>2</v>
      </c>
      <c r="G128" s="7">
        <v>93.41</v>
      </c>
      <c r="H128" s="7">
        <f>C14*G128+G128</f>
        <v>93.41</v>
      </c>
      <c r="I128" s="8">
        <f>H128*F128</f>
        <v>186.82</v>
      </c>
    </row>
    <row r="129" spans="1:9" ht="32.25" customHeight="1" thickBot="1" x14ac:dyDescent="0.3">
      <c r="A129" s="57"/>
      <c r="B129" s="58"/>
      <c r="C129" s="58"/>
      <c r="D129" s="58"/>
      <c r="E129" s="58"/>
      <c r="F129" s="135" t="s">
        <v>143</v>
      </c>
      <c r="G129" s="136"/>
      <c r="H129" s="137"/>
      <c r="I129" s="59">
        <f>I125+I119+I117+I110+I95+I80+I65+I50+I35+I20+I18</f>
        <v>339951.10712799995</v>
      </c>
    </row>
    <row r="132" spans="1:9" x14ac:dyDescent="0.25">
      <c r="F132" s="123" t="s">
        <v>151</v>
      </c>
      <c r="G132" s="123"/>
      <c r="H132" s="123"/>
      <c r="I132" s="123"/>
    </row>
    <row r="133" spans="1:9" x14ac:dyDescent="0.25">
      <c r="I133" s="48"/>
    </row>
    <row r="135" spans="1:9" x14ac:dyDescent="0.25">
      <c r="F135" s="123" t="s">
        <v>152</v>
      </c>
      <c r="G135" s="123"/>
      <c r="H135" s="123"/>
      <c r="I135" s="123"/>
    </row>
    <row r="136" spans="1:9" x14ac:dyDescent="0.25">
      <c r="F136" s="123" t="s">
        <v>153</v>
      </c>
      <c r="G136" s="123"/>
      <c r="H136" s="123"/>
      <c r="I136" s="123"/>
    </row>
    <row r="137" spans="1:9" x14ac:dyDescent="0.25">
      <c r="F137" s="123" t="s">
        <v>154</v>
      </c>
      <c r="G137" s="123"/>
      <c r="H137" s="123"/>
      <c r="I137" s="123"/>
    </row>
    <row r="138" spans="1:9" x14ac:dyDescent="0.25">
      <c r="F138" s="123"/>
      <c r="G138" s="123"/>
      <c r="H138" s="123"/>
      <c r="I138" s="123"/>
    </row>
  </sheetData>
  <mergeCells count="19">
    <mergeCell ref="F132:I132"/>
    <mergeCell ref="F135:I135"/>
    <mergeCell ref="F136:I136"/>
    <mergeCell ref="F137:I137"/>
    <mergeCell ref="F138:I138"/>
    <mergeCell ref="F129:H129"/>
    <mergeCell ref="A10:I10"/>
    <mergeCell ref="C12:I12"/>
    <mergeCell ref="C13:I13"/>
    <mergeCell ref="C14:I14"/>
    <mergeCell ref="G16:G17"/>
    <mergeCell ref="I16:I17"/>
    <mergeCell ref="A16:A17"/>
    <mergeCell ref="B16:B17"/>
    <mergeCell ref="C16:C17"/>
    <mergeCell ref="D16:D17"/>
    <mergeCell ref="E16:E17"/>
    <mergeCell ref="F16:F17"/>
    <mergeCell ref="H16:H17"/>
  </mergeCells>
  <conditionalFormatting sqref="F38:F39 F23:F24 F116">
    <cfRule type="containsText" dxfId="118" priority="138" operator="containsText" text=".">
      <formula>NOT(ISERROR(SEARCH(".",F23)))</formula>
    </cfRule>
  </conditionalFormatting>
  <conditionalFormatting sqref="A20 A23 A39:A49 A129 A122:A124">
    <cfRule type="containsText" dxfId="117" priority="137" operator="containsText" text=",">
      <formula>NOT(ISERROR(SEARCH(",",A20)))</formula>
    </cfRule>
  </conditionalFormatting>
  <conditionalFormatting sqref="F35 F41:F45">
    <cfRule type="containsText" dxfId="116" priority="134" operator="containsText" text=".">
      <formula>NOT(ISERROR(SEARCH(".",F35)))</formula>
    </cfRule>
  </conditionalFormatting>
  <conditionalFormatting sqref="F20">
    <cfRule type="containsText" dxfId="115" priority="132" operator="containsText" text=".">
      <formula>NOT(ISERROR(SEARCH(".",F20)))</formula>
    </cfRule>
  </conditionalFormatting>
  <conditionalFormatting sqref="A35 A38">
    <cfRule type="containsText" dxfId="114" priority="133" operator="containsText" text=",">
      <formula>NOT(ISERROR(SEARCH(",",A35)))</formula>
    </cfRule>
  </conditionalFormatting>
  <conditionalFormatting sqref="E36:E37">
    <cfRule type="containsText" dxfId="113" priority="131" operator="containsText" text=".">
      <formula>NOT(ISERROR(SEARCH(".",E36)))</formula>
    </cfRule>
  </conditionalFormatting>
  <conditionalFormatting sqref="F36:F37">
    <cfRule type="containsText" dxfId="112" priority="129" operator="containsText" text=".">
      <formula>NOT(ISERROR(SEARCH(".",F36)))</formula>
    </cfRule>
  </conditionalFormatting>
  <conditionalFormatting sqref="A36:A37">
    <cfRule type="containsText" dxfId="111" priority="130" operator="containsText" text=",">
      <formula>NOT(ISERROR(SEARCH(",",A36)))</formula>
    </cfRule>
  </conditionalFormatting>
  <conditionalFormatting sqref="A118">
    <cfRule type="containsText" dxfId="110" priority="128" operator="containsText" text=",">
      <formula>NOT(ISERROR(SEARCH(",",A118)))</formula>
    </cfRule>
  </conditionalFormatting>
  <conditionalFormatting sqref="F41:F45 F118">
    <cfRule type="containsText" dxfId="109" priority="122" operator="containsText" text=".">
      <formula>NOT(ISERROR(SEARCH(".",F41)))</formula>
    </cfRule>
  </conditionalFormatting>
  <conditionalFormatting sqref="A21:A22">
    <cfRule type="containsText" dxfId="108" priority="124" operator="containsText" text=",">
      <formula>NOT(ISERROR(SEARCH(",",A21)))</formula>
    </cfRule>
  </conditionalFormatting>
  <conditionalFormatting sqref="E21:E22">
    <cfRule type="containsText" dxfId="107" priority="125" operator="containsText" text=".">
      <formula>NOT(ISERROR(SEARCH(".",E21)))</formula>
    </cfRule>
  </conditionalFormatting>
  <conditionalFormatting sqref="A117">
    <cfRule type="containsText" dxfId="106" priority="118" operator="containsText" text=",">
      <formula>NOT(ISERROR(SEARCH(",",A117)))</formula>
    </cfRule>
  </conditionalFormatting>
  <conditionalFormatting sqref="F21:F22">
    <cfRule type="containsText" dxfId="105" priority="123" operator="containsText" text=".">
      <formula>NOT(ISERROR(SEARCH(".",F21)))</formula>
    </cfRule>
  </conditionalFormatting>
  <conditionalFormatting sqref="F117">
    <cfRule type="containsText" dxfId="104" priority="119" operator="containsText" text=".">
      <formula>NOT(ISERROR(SEARCH(".",F117)))</formula>
    </cfRule>
  </conditionalFormatting>
  <conditionalFormatting sqref="A110">
    <cfRule type="containsText" dxfId="103" priority="117" operator="containsText" text=",">
      <formula>NOT(ISERROR(SEARCH(",",A110)))</formula>
    </cfRule>
  </conditionalFormatting>
  <conditionalFormatting sqref="F110">
    <cfRule type="containsText" dxfId="102" priority="116" operator="containsText" text=".">
      <formula>NOT(ISERROR(SEARCH(".",F110)))</formula>
    </cfRule>
  </conditionalFormatting>
  <conditionalFormatting sqref="F39">
    <cfRule type="containsText" dxfId="101" priority="115" operator="containsText" text=".">
      <formula>NOT(ISERROR(SEARCH(".",F39)))</formula>
    </cfRule>
  </conditionalFormatting>
  <conditionalFormatting sqref="F47">
    <cfRule type="containsText" dxfId="100" priority="113" operator="containsText" text=".">
      <formula>NOT(ISERROR(SEARCH(".",F47)))</formula>
    </cfRule>
  </conditionalFormatting>
  <conditionalFormatting sqref="F47">
    <cfRule type="containsText" dxfId="99" priority="112" operator="containsText" text=".">
      <formula>NOT(ISERROR(SEARCH(".",F47)))</formula>
    </cfRule>
  </conditionalFormatting>
  <conditionalFormatting sqref="F40">
    <cfRule type="containsText" dxfId="98" priority="110" operator="containsText" text=".">
      <formula>NOT(ISERROR(SEARCH(".",F40)))</formula>
    </cfRule>
  </conditionalFormatting>
  <conditionalFormatting sqref="F40">
    <cfRule type="containsText" dxfId="97" priority="111" operator="containsText" text=".">
      <formula>NOT(ISERROR(SEARCH(".",F40)))</formula>
    </cfRule>
  </conditionalFormatting>
  <conditionalFormatting sqref="A111:A116">
    <cfRule type="containsText" dxfId="96" priority="109" operator="containsText" text=",">
      <formula>NOT(ISERROR(SEARCH(",",A111)))</formula>
    </cfRule>
  </conditionalFormatting>
  <conditionalFormatting sqref="F119">
    <cfRule type="containsText" dxfId="95" priority="106" operator="containsText" text=".">
      <formula>NOT(ISERROR(SEARCH(".",F119)))</formula>
    </cfRule>
  </conditionalFormatting>
  <conditionalFormatting sqref="A119">
    <cfRule type="containsText" dxfId="94" priority="105" operator="containsText" text=",">
      <formula>NOT(ISERROR(SEARCH(",",A119)))</formula>
    </cfRule>
  </conditionalFormatting>
  <conditionalFormatting sqref="F123:F124 F126:F128">
    <cfRule type="containsText" dxfId="93" priority="101" operator="containsText" text=".">
      <formula>NOT(ISERROR(SEARCH(".",F123)))</formula>
    </cfRule>
  </conditionalFormatting>
  <conditionalFormatting sqref="A126:A128">
    <cfRule type="containsText" dxfId="92" priority="104" operator="containsText" text=",">
      <formula>NOT(ISERROR(SEARCH(",",A126)))</formula>
    </cfRule>
  </conditionalFormatting>
  <conditionalFormatting sqref="F111:F113 F115">
    <cfRule type="containsText" dxfId="91" priority="102" operator="containsText" text=".">
      <formula>NOT(ISERROR(SEARCH(".",F111)))</formula>
    </cfRule>
  </conditionalFormatting>
  <conditionalFormatting sqref="F122">
    <cfRule type="containsText" dxfId="90" priority="100" operator="containsText" text=".">
      <formula>NOT(ISERROR(SEARCH(".",F122)))</formula>
    </cfRule>
  </conditionalFormatting>
  <conditionalFormatting sqref="F114">
    <cfRule type="containsText" dxfId="89" priority="99" operator="containsText" text=".">
      <formula>NOT(ISERROR(SEARCH(".",F114)))</formula>
    </cfRule>
  </conditionalFormatting>
  <conditionalFormatting sqref="F114">
    <cfRule type="containsText" dxfId="88" priority="98" operator="containsText" text=".">
      <formula>NOT(ISERROR(SEARCH(".",F114)))</formula>
    </cfRule>
  </conditionalFormatting>
  <conditionalFormatting sqref="A46">
    <cfRule type="containsText" dxfId="87" priority="88" operator="containsText" text=",">
      <formula>NOT(ISERROR(SEARCH(",",A46)))</formula>
    </cfRule>
  </conditionalFormatting>
  <conditionalFormatting sqref="F48:F49">
    <cfRule type="containsText" dxfId="86" priority="84" operator="containsText" text=".">
      <formula>NOT(ISERROR(SEARCH(".",F48)))</formula>
    </cfRule>
  </conditionalFormatting>
  <conditionalFormatting sqref="F46">
    <cfRule type="containsText" dxfId="85" priority="87" operator="containsText" text=".">
      <formula>NOT(ISERROR(SEARCH(".",F46)))</formula>
    </cfRule>
  </conditionalFormatting>
  <conditionalFormatting sqref="F46">
    <cfRule type="containsText" dxfId="84" priority="86" operator="containsText" text=".">
      <formula>NOT(ISERROR(SEARCH(".",F46)))</formula>
    </cfRule>
  </conditionalFormatting>
  <conditionalFormatting sqref="F48:F49">
    <cfRule type="containsText" dxfId="83" priority="85" operator="containsText" text=".">
      <formula>NOT(ISERROR(SEARCH(".",F48)))</formula>
    </cfRule>
  </conditionalFormatting>
  <conditionalFormatting sqref="F25:F34">
    <cfRule type="containsText" dxfId="82" priority="83" operator="containsText" text=".">
      <formula>NOT(ISERROR(SEARCH(".",F25)))</formula>
    </cfRule>
  </conditionalFormatting>
  <conditionalFormatting sqref="F53:F54">
    <cfRule type="containsText" dxfId="81" priority="82" operator="containsText" text=".">
      <formula>NOT(ISERROR(SEARCH(".",F53)))</formula>
    </cfRule>
  </conditionalFormatting>
  <conditionalFormatting sqref="A54:A64">
    <cfRule type="containsText" dxfId="80" priority="81" operator="containsText" text=",">
      <formula>NOT(ISERROR(SEARCH(",",A54)))</formula>
    </cfRule>
  </conditionalFormatting>
  <conditionalFormatting sqref="F50 F56:F60">
    <cfRule type="containsText" dxfId="79" priority="80" operator="containsText" text=".">
      <formula>NOT(ISERROR(SEARCH(".",F50)))</formula>
    </cfRule>
  </conditionalFormatting>
  <conditionalFormatting sqref="A50 A53">
    <cfRule type="containsText" dxfId="78" priority="79" operator="containsText" text=",">
      <formula>NOT(ISERROR(SEARCH(",",A50)))</formula>
    </cfRule>
  </conditionalFormatting>
  <conditionalFormatting sqref="E51:E52">
    <cfRule type="containsText" dxfId="77" priority="78" operator="containsText" text=".">
      <formula>NOT(ISERROR(SEARCH(".",E51)))</formula>
    </cfRule>
  </conditionalFormatting>
  <conditionalFormatting sqref="F51:F52">
    <cfRule type="containsText" dxfId="76" priority="76" operator="containsText" text=".">
      <formula>NOT(ISERROR(SEARCH(".",F51)))</formula>
    </cfRule>
  </conditionalFormatting>
  <conditionalFormatting sqref="A51:A52">
    <cfRule type="containsText" dxfId="75" priority="77" operator="containsText" text=",">
      <formula>NOT(ISERROR(SEARCH(",",A51)))</formula>
    </cfRule>
  </conditionalFormatting>
  <conditionalFormatting sqref="F56:F60">
    <cfRule type="containsText" dxfId="74" priority="75" operator="containsText" text=".">
      <formula>NOT(ISERROR(SEARCH(".",F56)))</formula>
    </cfRule>
  </conditionalFormatting>
  <conditionalFormatting sqref="F54">
    <cfRule type="containsText" dxfId="73" priority="74" operator="containsText" text=".">
      <formula>NOT(ISERROR(SEARCH(".",F54)))</formula>
    </cfRule>
  </conditionalFormatting>
  <conditionalFormatting sqref="F62">
    <cfRule type="containsText" dxfId="72" priority="73" operator="containsText" text=".">
      <formula>NOT(ISERROR(SEARCH(".",F62)))</formula>
    </cfRule>
  </conditionalFormatting>
  <conditionalFormatting sqref="F62">
    <cfRule type="containsText" dxfId="71" priority="72" operator="containsText" text=".">
      <formula>NOT(ISERROR(SEARCH(".",F62)))</formula>
    </cfRule>
  </conditionalFormatting>
  <conditionalFormatting sqref="F55">
    <cfRule type="containsText" dxfId="70" priority="70" operator="containsText" text=".">
      <formula>NOT(ISERROR(SEARCH(".",F55)))</formula>
    </cfRule>
  </conditionalFormatting>
  <conditionalFormatting sqref="F55">
    <cfRule type="containsText" dxfId="69" priority="71" operator="containsText" text=".">
      <formula>NOT(ISERROR(SEARCH(".",F55)))</formula>
    </cfRule>
  </conditionalFormatting>
  <conditionalFormatting sqref="F63:F64">
    <cfRule type="containsText" dxfId="68" priority="65" operator="containsText" text=".">
      <formula>NOT(ISERROR(SEARCH(".",F63)))</formula>
    </cfRule>
  </conditionalFormatting>
  <conditionalFormatting sqref="A61">
    <cfRule type="containsText" dxfId="67" priority="69" operator="containsText" text=",">
      <formula>NOT(ISERROR(SEARCH(",",A61)))</formula>
    </cfRule>
  </conditionalFormatting>
  <conditionalFormatting sqref="F61">
    <cfRule type="containsText" dxfId="66" priority="68" operator="containsText" text=".">
      <formula>NOT(ISERROR(SEARCH(".",F61)))</formula>
    </cfRule>
  </conditionalFormatting>
  <conditionalFormatting sqref="F61">
    <cfRule type="containsText" dxfId="65" priority="67" operator="containsText" text=".">
      <formula>NOT(ISERROR(SEARCH(".",F61)))</formula>
    </cfRule>
  </conditionalFormatting>
  <conditionalFormatting sqref="F63:F64">
    <cfRule type="containsText" dxfId="64" priority="66" operator="containsText" text=".">
      <formula>NOT(ISERROR(SEARCH(".",F63)))</formula>
    </cfRule>
  </conditionalFormatting>
  <conditionalFormatting sqref="F68:F69">
    <cfRule type="containsText" dxfId="63" priority="64" operator="containsText" text=".">
      <formula>NOT(ISERROR(SEARCH(".",F68)))</formula>
    </cfRule>
  </conditionalFormatting>
  <conditionalFormatting sqref="A69:A79">
    <cfRule type="containsText" dxfId="62" priority="63" operator="containsText" text=",">
      <formula>NOT(ISERROR(SEARCH(",",A69)))</formula>
    </cfRule>
  </conditionalFormatting>
  <conditionalFormatting sqref="F65 F71:F75">
    <cfRule type="containsText" dxfId="61" priority="62" operator="containsText" text=".">
      <formula>NOT(ISERROR(SEARCH(".",F65)))</formula>
    </cfRule>
  </conditionalFormatting>
  <conditionalFormatting sqref="A65 A68">
    <cfRule type="containsText" dxfId="60" priority="61" operator="containsText" text=",">
      <formula>NOT(ISERROR(SEARCH(",",A65)))</formula>
    </cfRule>
  </conditionalFormatting>
  <conditionalFormatting sqref="E66:E67">
    <cfRule type="containsText" dxfId="59" priority="60" operator="containsText" text=".">
      <formula>NOT(ISERROR(SEARCH(".",E66)))</formula>
    </cfRule>
  </conditionalFormatting>
  <conditionalFormatting sqref="F66:F67">
    <cfRule type="containsText" dxfId="58" priority="58" operator="containsText" text=".">
      <formula>NOT(ISERROR(SEARCH(".",F66)))</formula>
    </cfRule>
  </conditionalFormatting>
  <conditionalFormatting sqref="A66:A67">
    <cfRule type="containsText" dxfId="57" priority="59" operator="containsText" text=",">
      <formula>NOT(ISERROR(SEARCH(",",A66)))</formula>
    </cfRule>
  </conditionalFormatting>
  <conditionalFormatting sqref="F71:F75">
    <cfRule type="containsText" dxfId="56" priority="57" operator="containsText" text=".">
      <formula>NOT(ISERROR(SEARCH(".",F71)))</formula>
    </cfRule>
  </conditionalFormatting>
  <conditionalFormatting sqref="F69">
    <cfRule type="containsText" dxfId="55" priority="56" operator="containsText" text=".">
      <formula>NOT(ISERROR(SEARCH(".",F69)))</formula>
    </cfRule>
  </conditionalFormatting>
  <conditionalFormatting sqref="F77">
    <cfRule type="containsText" dxfId="54" priority="55" operator="containsText" text=".">
      <formula>NOT(ISERROR(SEARCH(".",F77)))</formula>
    </cfRule>
  </conditionalFormatting>
  <conditionalFormatting sqref="F77">
    <cfRule type="containsText" dxfId="53" priority="54" operator="containsText" text=".">
      <formula>NOT(ISERROR(SEARCH(".",F77)))</formula>
    </cfRule>
  </conditionalFormatting>
  <conditionalFormatting sqref="F70">
    <cfRule type="containsText" dxfId="52" priority="52" operator="containsText" text=".">
      <formula>NOT(ISERROR(SEARCH(".",F70)))</formula>
    </cfRule>
  </conditionalFormatting>
  <conditionalFormatting sqref="F70">
    <cfRule type="containsText" dxfId="51" priority="53" operator="containsText" text=".">
      <formula>NOT(ISERROR(SEARCH(".",F70)))</formula>
    </cfRule>
  </conditionalFormatting>
  <conditionalFormatting sqref="F78:F79">
    <cfRule type="containsText" dxfId="50" priority="47" operator="containsText" text=".">
      <formula>NOT(ISERROR(SEARCH(".",F78)))</formula>
    </cfRule>
  </conditionalFormatting>
  <conditionalFormatting sqref="A76">
    <cfRule type="containsText" dxfId="49" priority="51" operator="containsText" text=",">
      <formula>NOT(ISERROR(SEARCH(",",A76)))</formula>
    </cfRule>
  </conditionalFormatting>
  <conditionalFormatting sqref="F76">
    <cfRule type="containsText" dxfId="48" priority="50" operator="containsText" text=".">
      <formula>NOT(ISERROR(SEARCH(".",F76)))</formula>
    </cfRule>
  </conditionalFormatting>
  <conditionalFormatting sqref="F76">
    <cfRule type="containsText" dxfId="47" priority="49" operator="containsText" text=".">
      <formula>NOT(ISERROR(SEARCH(".",F76)))</formula>
    </cfRule>
  </conditionalFormatting>
  <conditionalFormatting sqref="F78:F79">
    <cfRule type="containsText" dxfId="46" priority="48" operator="containsText" text=".">
      <formula>NOT(ISERROR(SEARCH(".",F78)))</formula>
    </cfRule>
  </conditionalFormatting>
  <conditionalFormatting sqref="F98:F99">
    <cfRule type="containsText" dxfId="45" priority="46" operator="containsText" text=".">
      <formula>NOT(ISERROR(SEARCH(".",F98)))</formula>
    </cfRule>
  </conditionalFormatting>
  <conditionalFormatting sqref="A99:A109">
    <cfRule type="containsText" dxfId="44" priority="45" operator="containsText" text=",">
      <formula>NOT(ISERROR(SEARCH(",",A99)))</formula>
    </cfRule>
  </conditionalFormatting>
  <conditionalFormatting sqref="F95 F101:F105">
    <cfRule type="containsText" dxfId="43" priority="44" operator="containsText" text=".">
      <formula>NOT(ISERROR(SEARCH(".",F95)))</formula>
    </cfRule>
  </conditionalFormatting>
  <conditionalFormatting sqref="A95 A98">
    <cfRule type="containsText" dxfId="42" priority="43" operator="containsText" text=",">
      <formula>NOT(ISERROR(SEARCH(",",A95)))</formula>
    </cfRule>
  </conditionalFormatting>
  <conditionalFormatting sqref="E96:E97">
    <cfRule type="containsText" dxfId="41" priority="42" operator="containsText" text=".">
      <formula>NOT(ISERROR(SEARCH(".",E96)))</formula>
    </cfRule>
  </conditionalFormatting>
  <conditionalFormatting sqref="F96:F97">
    <cfRule type="containsText" dxfId="40" priority="40" operator="containsText" text=".">
      <formula>NOT(ISERROR(SEARCH(".",F96)))</formula>
    </cfRule>
  </conditionalFormatting>
  <conditionalFormatting sqref="A96:A97">
    <cfRule type="containsText" dxfId="39" priority="41" operator="containsText" text=",">
      <formula>NOT(ISERROR(SEARCH(",",A96)))</formula>
    </cfRule>
  </conditionalFormatting>
  <conditionalFormatting sqref="F101:F105">
    <cfRule type="containsText" dxfId="38" priority="39" operator="containsText" text=".">
      <formula>NOT(ISERROR(SEARCH(".",F101)))</formula>
    </cfRule>
  </conditionalFormatting>
  <conditionalFormatting sqref="F99">
    <cfRule type="containsText" dxfId="37" priority="38" operator="containsText" text=".">
      <formula>NOT(ISERROR(SEARCH(".",F99)))</formula>
    </cfRule>
  </conditionalFormatting>
  <conditionalFormatting sqref="F107">
    <cfRule type="containsText" dxfId="36" priority="37" operator="containsText" text=".">
      <formula>NOT(ISERROR(SEARCH(".",F107)))</formula>
    </cfRule>
  </conditionalFormatting>
  <conditionalFormatting sqref="F107">
    <cfRule type="containsText" dxfId="35" priority="36" operator="containsText" text=".">
      <formula>NOT(ISERROR(SEARCH(".",F107)))</formula>
    </cfRule>
  </conditionalFormatting>
  <conditionalFormatting sqref="F100">
    <cfRule type="containsText" dxfId="34" priority="34" operator="containsText" text=".">
      <formula>NOT(ISERROR(SEARCH(".",F100)))</formula>
    </cfRule>
  </conditionalFormatting>
  <conditionalFormatting sqref="F100">
    <cfRule type="containsText" dxfId="33" priority="35" operator="containsText" text=".">
      <formula>NOT(ISERROR(SEARCH(".",F100)))</formula>
    </cfRule>
  </conditionalFormatting>
  <conditionalFormatting sqref="F108:F109">
    <cfRule type="containsText" dxfId="32" priority="29" operator="containsText" text=".">
      <formula>NOT(ISERROR(SEARCH(".",F108)))</formula>
    </cfRule>
  </conditionalFormatting>
  <conditionalFormatting sqref="A106">
    <cfRule type="containsText" dxfId="31" priority="33" operator="containsText" text=",">
      <formula>NOT(ISERROR(SEARCH(",",A106)))</formula>
    </cfRule>
  </conditionalFormatting>
  <conditionalFormatting sqref="F106">
    <cfRule type="containsText" dxfId="30" priority="32" operator="containsText" text=".">
      <formula>NOT(ISERROR(SEARCH(".",F106)))</formula>
    </cfRule>
  </conditionalFormatting>
  <conditionalFormatting sqref="F106">
    <cfRule type="containsText" dxfId="29" priority="31" operator="containsText" text=".">
      <formula>NOT(ISERROR(SEARCH(".",F106)))</formula>
    </cfRule>
  </conditionalFormatting>
  <conditionalFormatting sqref="F108:F109">
    <cfRule type="containsText" dxfId="28" priority="30" operator="containsText" text=".">
      <formula>NOT(ISERROR(SEARCH(".",F108)))</formula>
    </cfRule>
  </conditionalFormatting>
  <conditionalFormatting sqref="F83:F84">
    <cfRule type="containsText" dxfId="27" priority="28" operator="containsText" text=".">
      <formula>NOT(ISERROR(SEARCH(".",F83)))</formula>
    </cfRule>
  </conditionalFormatting>
  <conditionalFormatting sqref="A84:A94">
    <cfRule type="containsText" dxfId="26" priority="27" operator="containsText" text=",">
      <formula>NOT(ISERROR(SEARCH(",",A84)))</formula>
    </cfRule>
  </conditionalFormatting>
  <conditionalFormatting sqref="F80 F86:F90">
    <cfRule type="containsText" dxfId="25" priority="26" operator="containsText" text=".">
      <formula>NOT(ISERROR(SEARCH(".",F80)))</formula>
    </cfRule>
  </conditionalFormatting>
  <conditionalFormatting sqref="A80 A83">
    <cfRule type="containsText" dxfId="24" priority="25" operator="containsText" text=",">
      <formula>NOT(ISERROR(SEARCH(",",A80)))</formula>
    </cfRule>
  </conditionalFormatting>
  <conditionalFormatting sqref="E81:E82">
    <cfRule type="containsText" dxfId="23" priority="24" operator="containsText" text=".">
      <formula>NOT(ISERROR(SEARCH(".",E81)))</formula>
    </cfRule>
  </conditionalFormatting>
  <conditionalFormatting sqref="F81:F82">
    <cfRule type="containsText" dxfId="22" priority="22" operator="containsText" text=".">
      <formula>NOT(ISERROR(SEARCH(".",F81)))</formula>
    </cfRule>
  </conditionalFormatting>
  <conditionalFormatting sqref="A81:A82">
    <cfRule type="containsText" dxfId="21" priority="23" operator="containsText" text=",">
      <formula>NOT(ISERROR(SEARCH(",",A81)))</formula>
    </cfRule>
  </conditionalFormatting>
  <conditionalFormatting sqref="F86:F90">
    <cfRule type="containsText" dxfId="20" priority="21" operator="containsText" text=".">
      <formula>NOT(ISERROR(SEARCH(".",F86)))</formula>
    </cfRule>
  </conditionalFormatting>
  <conditionalFormatting sqref="F84">
    <cfRule type="containsText" dxfId="19" priority="20" operator="containsText" text=".">
      <formula>NOT(ISERROR(SEARCH(".",F84)))</formula>
    </cfRule>
  </conditionalFormatting>
  <conditionalFormatting sqref="F92">
    <cfRule type="containsText" dxfId="18" priority="19" operator="containsText" text=".">
      <formula>NOT(ISERROR(SEARCH(".",F92)))</formula>
    </cfRule>
  </conditionalFormatting>
  <conditionalFormatting sqref="F92">
    <cfRule type="containsText" dxfId="17" priority="18" operator="containsText" text=".">
      <formula>NOT(ISERROR(SEARCH(".",F92)))</formula>
    </cfRule>
  </conditionalFormatting>
  <conditionalFormatting sqref="F85">
    <cfRule type="containsText" dxfId="16" priority="16" operator="containsText" text=".">
      <formula>NOT(ISERROR(SEARCH(".",F85)))</formula>
    </cfRule>
  </conditionalFormatting>
  <conditionalFormatting sqref="F85">
    <cfRule type="containsText" dxfId="15" priority="17" operator="containsText" text=".">
      <formula>NOT(ISERROR(SEARCH(".",F85)))</formula>
    </cfRule>
  </conditionalFormatting>
  <conditionalFormatting sqref="F93:F94">
    <cfRule type="containsText" dxfId="14" priority="11" operator="containsText" text=".">
      <formula>NOT(ISERROR(SEARCH(".",F93)))</formula>
    </cfRule>
  </conditionalFormatting>
  <conditionalFormatting sqref="A91">
    <cfRule type="containsText" dxfId="13" priority="15" operator="containsText" text=",">
      <formula>NOT(ISERROR(SEARCH(",",A91)))</formula>
    </cfRule>
  </conditionalFormatting>
  <conditionalFormatting sqref="F91">
    <cfRule type="containsText" dxfId="12" priority="14" operator="containsText" text=".">
      <formula>NOT(ISERROR(SEARCH(".",F91)))</formula>
    </cfRule>
  </conditionalFormatting>
  <conditionalFormatting sqref="F91">
    <cfRule type="containsText" dxfId="11" priority="13" operator="containsText" text=".">
      <formula>NOT(ISERROR(SEARCH(".",F91)))</formula>
    </cfRule>
  </conditionalFormatting>
  <conditionalFormatting sqref="F93:F94">
    <cfRule type="containsText" dxfId="10" priority="12" operator="containsText" text=".">
      <formula>NOT(ISERROR(SEARCH(".",F93)))</formula>
    </cfRule>
  </conditionalFormatting>
  <conditionalFormatting sqref="A18">
    <cfRule type="containsText" dxfId="9" priority="10" operator="containsText" text=",">
      <formula>NOT(ISERROR(SEARCH(",",A18)))</formula>
    </cfRule>
  </conditionalFormatting>
  <conditionalFormatting sqref="F18">
    <cfRule type="containsText" dxfId="8" priority="9" operator="containsText" text=".">
      <formula>NOT(ISERROR(SEARCH(".",F18)))</formula>
    </cfRule>
  </conditionalFormatting>
  <conditionalFormatting sqref="A24:A34">
    <cfRule type="containsText" dxfId="7" priority="8" operator="containsText" text=",">
      <formula>NOT(ISERROR(SEARCH(",",A24)))</formula>
    </cfRule>
  </conditionalFormatting>
  <conditionalFormatting sqref="A31">
    <cfRule type="containsText" dxfId="6" priority="7" operator="containsText" text=",">
      <formula>NOT(ISERROR(SEARCH(",",A31)))</formula>
    </cfRule>
  </conditionalFormatting>
  <conditionalFormatting sqref="F125">
    <cfRule type="containsText" dxfId="5" priority="6" operator="containsText" text=".">
      <formula>NOT(ISERROR(SEARCH(".",F125)))</formula>
    </cfRule>
  </conditionalFormatting>
  <conditionalFormatting sqref="A125">
    <cfRule type="containsText" dxfId="4" priority="5" operator="containsText" text=",">
      <formula>NOT(ISERROR(SEARCH(",",A125)))</formula>
    </cfRule>
  </conditionalFormatting>
  <conditionalFormatting sqref="F121">
    <cfRule type="containsText" dxfId="3" priority="3" operator="containsText" text=".">
      <formula>NOT(ISERROR(SEARCH(".",F121)))</formula>
    </cfRule>
  </conditionalFormatting>
  <conditionalFormatting sqref="A121">
    <cfRule type="containsText" dxfId="2" priority="4" operator="containsText" text=",">
      <formula>NOT(ISERROR(SEARCH(",",A121)))</formula>
    </cfRule>
  </conditionalFormatting>
  <conditionalFormatting sqref="F120">
    <cfRule type="containsText" dxfId="1" priority="1" operator="containsText" text=".">
      <formula>NOT(ISERROR(SEARCH(".",F120)))</formula>
    </cfRule>
  </conditionalFormatting>
  <conditionalFormatting sqref="A120">
    <cfRule type="containsText" dxfId="0" priority="2" operator="containsText" text=",">
      <formula>NOT(ISERROR(SEARCH(",",A120)))</formula>
    </cfRule>
  </conditionalFormatting>
  <pageMargins left="0.51181102362204722" right="0.51181102362204722" top="0.78740157480314965" bottom="0.78740157480314965" header="0.31496062992125984" footer="0.31496062992125984"/>
  <pageSetup paperSize="9" scale="64" fitToHeight="4" orientation="portrait" r:id="rId1"/>
  <rowBreaks count="1" manualBreakCount="1">
    <brk id="127" max="8" man="1"/>
  </rowBreaks>
  <colBreaks count="1" manualBreakCount="1">
    <brk id="2" max="1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OBRA</vt:lpstr>
      <vt:lpstr>PLANILHA FINAL CONVENIO</vt:lpstr>
      <vt:lpstr>'CRONOGRAMA OBRA'!Area_de_impressao</vt:lpstr>
      <vt:lpstr>'PLANILHA FINAL CONVENIO'!Area_de_impressao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Rodrigues de Moraes Claudio</dc:creator>
  <cp:lastModifiedBy>Camila Rodrigues de Moraes Claudio</cp:lastModifiedBy>
  <cp:lastPrinted>2022-04-04T12:44:39Z</cp:lastPrinted>
  <dcterms:created xsi:type="dcterms:W3CDTF">2022-03-24T19:23:19Z</dcterms:created>
  <dcterms:modified xsi:type="dcterms:W3CDTF">2022-05-24T11:35:38Z</dcterms:modified>
</cp:coreProperties>
</file>