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425" activeTab="1"/>
  </bookViews>
  <sheets>
    <sheet name="CRONOGRAMA" sheetId="8" r:id="rId1"/>
    <sheet name="Planilha1" sheetId="1" r:id="rId2"/>
    <sheet name="MEMÓRIA" sheetId="3" r:id="rId3"/>
  </sheets>
  <externalReferences>
    <externalReference r:id="rId6"/>
  </externalReferences>
  <definedNames>
    <definedName name="_xlnm.Print_Area" localSheetId="0">'CRONOGRAMA'!$A$1:$F$35</definedName>
    <definedName name="_xlnm.Print_Area" localSheetId="2">'MEMÓRIA'!$A$1:$E$49</definedName>
    <definedName name="_xlnm.Print_Area" localSheetId="1">'Planilha1'!$A$1:$I$74</definedName>
    <definedName name="brasao">INDEX('[1]INFO'!$B$47:$D$76,'[1]INFO'!$F$47,3)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<sst xmlns="http://schemas.openxmlformats.org/spreadsheetml/2006/main" count="437" uniqueCount="196">
  <si>
    <t>DATA BASE:</t>
  </si>
  <si>
    <t>BDI 1:</t>
  </si>
  <si>
    <t>ITEM</t>
  </si>
  <si>
    <t>CÓDIGO</t>
  </si>
  <si>
    <t>DESCRIÇÃO</t>
  </si>
  <si>
    <t>UN</t>
  </si>
  <si>
    <t>QUANT</t>
  </si>
  <si>
    <t>VALOR UNIT</t>
  </si>
  <si>
    <t>VALOR C/ BDI</t>
  </si>
  <si>
    <t xml:space="preserve">TOTAL </t>
  </si>
  <si>
    <t>CDHU</t>
  </si>
  <si>
    <t>M</t>
  </si>
  <si>
    <t>UNID.</t>
  </si>
  <si>
    <t>QUANT.</t>
  </si>
  <si>
    <t>m2</t>
  </si>
  <si>
    <t>KG</t>
  </si>
  <si>
    <t>2.1</t>
  </si>
  <si>
    <t>2.2</t>
  </si>
  <si>
    <t>2.3</t>
  </si>
  <si>
    <t>2.4</t>
  </si>
  <si>
    <t>2.5</t>
  </si>
  <si>
    <t>2.6</t>
  </si>
  <si>
    <t>2.7</t>
  </si>
  <si>
    <t>M2</t>
  </si>
  <si>
    <t>M3</t>
  </si>
  <si>
    <t>3.</t>
  </si>
  <si>
    <t>3.1</t>
  </si>
  <si>
    <t>FDE</t>
  </si>
  <si>
    <t>3.2</t>
  </si>
  <si>
    <t>4.</t>
  </si>
  <si>
    <t>4.1</t>
  </si>
  <si>
    <t>5.</t>
  </si>
  <si>
    <t>ESQUADRIAS</t>
  </si>
  <si>
    <t>5.1</t>
  </si>
  <si>
    <t>5.2</t>
  </si>
  <si>
    <t>6.</t>
  </si>
  <si>
    <t>6.1</t>
  </si>
  <si>
    <t>6.2</t>
  </si>
  <si>
    <t>7.</t>
  </si>
  <si>
    <t>7.1</t>
  </si>
  <si>
    <t>8.</t>
  </si>
  <si>
    <t>INSTALAÇÕES ELÉTRICAS</t>
  </si>
  <si>
    <t>Interruptor com 1 tecla simples e placa</t>
  </si>
  <si>
    <t>8.1</t>
  </si>
  <si>
    <t>8.2</t>
  </si>
  <si>
    <t>8.3</t>
  </si>
  <si>
    <t>8.4</t>
  </si>
  <si>
    <t>CJ</t>
  </si>
  <si>
    <t>9.</t>
  </si>
  <si>
    <t>COBERTURA</t>
  </si>
  <si>
    <t>9.1</t>
  </si>
  <si>
    <t>9.2</t>
  </si>
  <si>
    <t>9.3</t>
  </si>
  <si>
    <t>REFERÊNCIA:</t>
  </si>
  <si>
    <t>10.</t>
  </si>
  <si>
    <t>10.1</t>
  </si>
  <si>
    <t>10.2</t>
  </si>
  <si>
    <t>INFRAESTRUTURA</t>
  </si>
  <si>
    <t>Escavação manual em solo de 1ª e 2ª categoria em vala ou cava até 1,5 m</t>
  </si>
  <si>
    <t>Lastro de pedra britada</t>
  </si>
  <si>
    <t>Concreto usinado, fck = 25,0 Mpa</t>
  </si>
  <si>
    <t>Lançamento e adensamento de concreto ou massa em fundação</t>
  </si>
  <si>
    <t>Forma em madeira comum para fundação</t>
  </si>
  <si>
    <t>Armadura em barra de aço CA-50 (A ou B) fyk= 500 Mpa</t>
  </si>
  <si>
    <t>06.02.020</t>
  </si>
  <si>
    <t>11.18.040</t>
  </si>
  <si>
    <t>11.01.130</t>
  </si>
  <si>
    <t>11.16.040</t>
  </si>
  <si>
    <t>09.01.020</t>
  </si>
  <si>
    <t>10.01.040</t>
  </si>
  <si>
    <t>Forma plana em compensado para estrutura convencional</t>
  </si>
  <si>
    <t>Vergas, contravergas e pilaretes de concreto armado</t>
  </si>
  <si>
    <t>SUPERESTRUTURA</t>
  </si>
  <si>
    <t>09.02.020</t>
  </si>
  <si>
    <t>14.20.010</t>
  </si>
  <si>
    <t>ALVENARIA</t>
  </si>
  <si>
    <t>PISO</t>
  </si>
  <si>
    <t>PINTURA</t>
  </si>
  <si>
    <t>Tinta látex em massa, inclusive preparo (INTERNA)</t>
  </si>
  <si>
    <t>11.</t>
  </si>
  <si>
    <t>TOTAL GERAL COM BDI</t>
  </si>
  <si>
    <t>11.1</t>
  </si>
  <si>
    <t>11.2</t>
  </si>
  <si>
    <t>11.3</t>
  </si>
  <si>
    <t>Torneira curta com rosca para uso geral, em latão fundido sem acabamento, DN= 1/2´</t>
  </si>
  <si>
    <t>44.03.370</t>
  </si>
  <si>
    <t>Cabo de cobre de 1,5 mm², isolamento 750 V ‐ isolação em PVC 70°C</t>
  </si>
  <si>
    <t>39.02.010</t>
  </si>
  <si>
    <t>Cabo de cobre de 2,5 mm², isolamento 750 V ‐ isolação em PVC 70°C</t>
  </si>
  <si>
    <t>39.02.016</t>
  </si>
  <si>
    <t>40.05.020</t>
  </si>
  <si>
    <t>Eletroduto corrugado em polietileno de alta densidade, DN= 30 mm, com acessórios</t>
  </si>
  <si>
    <t>38.13.010</t>
  </si>
  <si>
    <t>ALVARO FLORIAM GEBRAIEL BELLAZ</t>
  </si>
  <si>
    <t>CREA: 507.011.280-5</t>
  </si>
  <si>
    <t>SECRETÁRIO DE OBRAS E PLANEJAMENTO</t>
  </si>
  <si>
    <t>2.</t>
  </si>
  <si>
    <t>7.2</t>
  </si>
  <si>
    <t>2.8</t>
  </si>
  <si>
    <t>REFERÊNCIA</t>
  </si>
  <si>
    <t>3.3</t>
  </si>
  <si>
    <t>8.5</t>
  </si>
  <si>
    <t>Quadro de distribuição universal de embutir, para disjuntores 16 DIN / 12 Bolt‐on ‐ 150 A ‐ sem componentes</t>
  </si>
  <si>
    <t>Disjuntor termomagnético, unipolar 127/220 V, corrente de 10 A até 30 A</t>
  </si>
  <si>
    <t>37.13.600</t>
  </si>
  <si>
    <t>PLANILHA ORÇAMENTÁRIA</t>
  </si>
  <si>
    <t>concreto * 80</t>
  </si>
  <si>
    <t>1.</t>
  </si>
  <si>
    <t>1.1</t>
  </si>
  <si>
    <t>1.2</t>
  </si>
  <si>
    <t>1.3</t>
  </si>
  <si>
    <t>Lâmpada LED tubular T8, base G13 ‐ 18 a 20W, 1850 até 2000 lm, cor 4000 a 6500K, vida útil mín. 25.000 horas; ref. Essential LEDtube 1200mm 18W 840/865 Philips, Tubo LED T8 ‐  20W/4000/5000/6500 1200mm da Osram ou equivalente</t>
  </si>
  <si>
    <t>P.14.000.046623</t>
  </si>
  <si>
    <t>CDHU INSUMOS</t>
  </si>
  <si>
    <t>8.6</t>
  </si>
  <si>
    <t>Esmalte à base de água em massa, inclusive preparo</t>
  </si>
  <si>
    <t>33.10.041</t>
  </si>
  <si>
    <t>Testeira em tábua aparelhada, largura até 20cm</t>
  </si>
  <si>
    <t>22.01.210</t>
  </si>
  <si>
    <t>CRONOGRAMA FÍSICO FINANCEIRO</t>
  </si>
  <si>
    <t>1º MÊS</t>
  </si>
  <si>
    <t>2º MÊS</t>
  </si>
  <si>
    <t>3º MÊS</t>
  </si>
  <si>
    <t>SERVIÇOS PRELIMINARES</t>
  </si>
  <si>
    <t>Aterro mecanizado por compensação, solo de 1ª categoria em campo aberto, sem compactação do aterro</t>
  </si>
  <si>
    <t>07.12.040</t>
  </si>
  <si>
    <t xml:space="preserve">65,00 M2 * 0,50 M </t>
  </si>
  <si>
    <t>Limpeza manual do terreno, inclusive troncos até 5 cm de diâmetro, com caminhão à disposição dentro da obra, até o raio de 1 km</t>
  </si>
  <si>
    <t>02.09.030</t>
  </si>
  <si>
    <t>65,00 M2 ocupação construção + calçada externa</t>
  </si>
  <si>
    <t>Locação de container tipo alojamento ‐ área mínima de 13,80 m²</t>
  </si>
  <si>
    <t>02.02.120</t>
  </si>
  <si>
    <t>UNID./MÊS</t>
  </si>
  <si>
    <t>1 UNIDADE * 4 MESES</t>
  </si>
  <si>
    <t>Locação de obra de edificação</t>
  </si>
  <si>
    <t>02.10.020</t>
  </si>
  <si>
    <t>36,23 M2 ÁREA OCUPAÇÃO CONSTRUÇÃO</t>
  </si>
  <si>
    <t>29,50 m perímetro alvenaria * 0,20 * 0,30</t>
  </si>
  <si>
    <t>29,50 * 0,20 fundo vala * 0,05</t>
  </si>
  <si>
    <t>0,30 + 0,30 * 29,50 m</t>
  </si>
  <si>
    <t>11 brocas 4,00 m prof. + 5 brocas 1,50 m prof.</t>
  </si>
  <si>
    <t>Broca em concreto armado diâmetro de 25 cm ‐ completa</t>
  </si>
  <si>
    <t>12.01.041</t>
  </si>
  <si>
    <t>3.4</t>
  </si>
  <si>
    <t>3.5</t>
  </si>
  <si>
    <t>Laje pré‐fabricada mista vigota treliçada/lajota cerâmica ‐ LT 12 (8+4) e capa com concreto de 25 MPa</t>
  </si>
  <si>
    <t>13.01.130</t>
  </si>
  <si>
    <t>3,74 M2 * 3 UNID. ( GATIL MAIOR) + 0,85 M2 * 3 UNID. (GATIL MENOR)</t>
  </si>
  <si>
    <t>3.6</t>
  </si>
  <si>
    <t>viga respaldo 19,20 m * 0,30 * 0,15 + pilares 11 unid. * 0,30 * 0,15 * 2,40</t>
  </si>
  <si>
    <t>viga 0,30+0,30 * 19,20 + pilares 0,30 + 0,30 * 11 * 2,40</t>
  </si>
  <si>
    <t>verga alvenaria 16,30 m * 0,15 * 0,15 + pilaretes 11 unid. 0,15 * 0,15 * 1,80 alt.</t>
  </si>
  <si>
    <t>Porta de abrir em tela ondulada de aço galvanizado, completa</t>
  </si>
  <si>
    <t>24.02.460</t>
  </si>
  <si>
    <t>total alvenaria 43,05 m²</t>
  </si>
  <si>
    <t>TP-03 TELA DE PROTEÇÃO ARAME GALVANIZADO ONDULADO - REQUADRO DE FERRO</t>
  </si>
  <si>
    <t>06.03.018</t>
  </si>
  <si>
    <t>4,75*2,30 + 2,70+2,30 + 5,30*2,30 + superiores 5,22 m2 + 14,36 m2 + 0,20*5,25 + 0,20*1,85 (fechamento superior até cobertura)</t>
  </si>
  <si>
    <t>0,80*2,10*2 unidades + 0,70*0,50*3 unidades (baias pequenas)</t>
  </si>
  <si>
    <t>Alvenaria de bloco de concreto estrutural 14 x 19 x 39 cm ‐ classe B</t>
  </si>
  <si>
    <t>14.11.221</t>
  </si>
  <si>
    <t>Alvenaria de bloco de concreto estrutural 14 x 19 x 39 cm ‐ classe B uso aparente</t>
  </si>
  <si>
    <t>EXECUÇÃO DE PASSEIO (CALÇADA) OU PISO DE CONCRETO COM CONCRETO MOLDADO IN LOCO, USINADO, ACABAMENTO CONVENCIONAL, ESPESSURA 8 CM, ARMADO. AF _08/2022</t>
  </si>
  <si>
    <t>SINAPI</t>
  </si>
  <si>
    <t>18,37 M2 INTERNO + 6,47 M2 INTERNO + 28,70 M2 CALÇADA</t>
  </si>
  <si>
    <t>Plantio de grama esmeralda em placas (jardins e canteiros)</t>
  </si>
  <si>
    <t>34.02.100</t>
  </si>
  <si>
    <t>Tubo de PVC rígido soldável marrom, DN= 25 mm, (3/4´), inclusive conexões</t>
  </si>
  <si>
    <t>46.01.020</t>
  </si>
  <si>
    <t>INSTALAÇÕES HIDRÁULICAS</t>
  </si>
  <si>
    <t>Luminária retangular de sobrepor tipo calha aberta, para 2 lâmpadas fluorescentes tubulares de 32 W</t>
  </si>
  <si>
    <t>41.14.070</t>
  </si>
  <si>
    <t>QUADRO GERAL - DISJUNTOR TERMOMAGNETICO 3X10A A 3X50A</t>
  </si>
  <si>
    <t>09.04.019</t>
  </si>
  <si>
    <t>8.7</t>
  </si>
  <si>
    <t>8.8</t>
  </si>
  <si>
    <t>TRAMA DE MADEIRA COMPOSTA POR TERÇAS PARA TELHADOS DE ATÉ 2 ÁGUAS PARA TELHA ONDULADA DE FIBROCIMENTO, METÁLICA, PLÁSTICA OU TERMOACÚSTICA,
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</si>
  <si>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</si>
  <si>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2,70 * 2,15</t>
  </si>
  <si>
    <t>alvenmaria * 2 lados</t>
  </si>
  <si>
    <t>portas * 2 lados / obs gradil já incluso pintura no item</t>
  </si>
  <si>
    <t>Esmalte à base de água em massa, inclusive preparo (alvenaria)</t>
  </si>
  <si>
    <t>Esmalte à base de água em massa, inclusive preparo (portas)</t>
  </si>
  <si>
    <t>Tietê, 16 de março de 2023.</t>
  </si>
  <si>
    <t>CONSTRUÇÃO DE GATIL MUNICIPAL</t>
  </si>
  <si>
    <t>LOCAL:PARQUE ECOLÓGICO CORNÉLIO PIRES</t>
  </si>
  <si>
    <t>CDHU VERSÃO 188 NÃO DESONERADO</t>
  </si>
  <si>
    <t>SINAPI FEV/2023 NÃO DESONERADO</t>
  </si>
  <si>
    <t>FDE JAN/2023 NÃO DESONERADO</t>
  </si>
  <si>
    <t>SERVIÇOS COMPLEMENTARES</t>
  </si>
  <si>
    <t>ESCADA EM CONCRETO ARMADO MOLDADO IN LOCO, FCK 20 MPA, COM 1 LANCE E LAJE PLANA, FÔRMA EM CHAPA DE MADEIRA COMPENSADA RESINADA. AF_11/2020</t>
  </si>
  <si>
    <t>Corrimão tubular em aço galvanizado, diâmetro 1 1/2´</t>
  </si>
  <si>
    <t>24.03.310</t>
  </si>
  <si>
    <t xml:space="preserve">2,75 (projeção horizontal)*1,70*0,07 + 1,20 (altura total espelhos)*1,50*0,07 </t>
  </si>
  <si>
    <t>grama externa para acabamento</t>
  </si>
  <si>
    <t>1,85 + 5,25 M2 (interno baias)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</si>
</sst>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77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rgb="FFCCCCCC"/>
      </left>
      <right style="thin">
        <color rgb="FFCCCCCC"/>
      </right>
      <top style="thin"/>
      <bottom style="thin">
        <color rgb="FFCCCCCC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6">
    <xf numFmtId="0" fontId="0" fillId="0" borderId="0" xfId="0"/>
    <xf numFmtId="4" fontId="3" fillId="2" borderId="0" xfId="0" applyNumberFormat="1" applyFont="1" applyFill="1" applyAlignment="1" applyProtection="1">
      <alignment vertical="top"/>
      <protection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2" borderId="1" xfId="20" applyFont="1" applyFill="1" applyBorder="1" applyAlignment="1" applyProtection="1">
      <alignment horizontal="left" vertical="center" wrapText="1"/>
      <protection locked="0"/>
    </xf>
    <xf numFmtId="44" fontId="0" fillId="0" borderId="1" xfId="0" applyNumberFormat="1" applyBorder="1" applyAlignment="1">
      <alignment vertical="center"/>
    </xf>
    <xf numFmtId="44" fontId="10" fillId="2" borderId="1" xfId="20" applyFont="1" applyFill="1" applyBorder="1" applyAlignment="1" applyProtection="1">
      <alignment horizontal="right" vertical="center" wrapText="1"/>
      <protection locked="0"/>
    </xf>
    <xf numFmtId="0" fontId="12" fillId="3" borderId="2" xfId="0" applyFont="1" applyFill="1" applyBorder="1"/>
    <xf numFmtId="0" fontId="11" fillId="3" borderId="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2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10" fillId="2" borderId="3" xfId="20" applyFont="1" applyFill="1" applyBorder="1" applyAlignment="1" applyProtection="1">
      <alignment horizontal="left" vertical="center" wrapText="1"/>
      <protection locked="0"/>
    </xf>
    <xf numFmtId="44" fontId="0" fillId="0" borderId="3" xfId="0" applyNumberFormat="1" applyBorder="1" applyAlignment="1">
      <alignment vertical="center"/>
    </xf>
    <xf numFmtId="44" fontId="10" fillId="2" borderId="3" xfId="20" applyFont="1" applyFill="1" applyBorder="1" applyAlignment="1" applyProtection="1">
      <alignment horizontal="right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44" fontId="10" fillId="2" borderId="1" xfId="20" applyNumberFormat="1" applyFont="1" applyFill="1" applyBorder="1" applyAlignment="1" applyProtection="1">
      <alignment horizontal="right" vertical="center" wrapText="1"/>
      <protection locked="0"/>
    </xf>
    <xf numFmtId="44" fontId="10" fillId="2" borderId="1" xfId="2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44" fontId="10" fillId="2" borderId="1" xfId="2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3" borderId="5" xfId="0" applyFont="1" applyFill="1" applyBorder="1"/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3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164" fontId="14" fillId="3" borderId="1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vertical="top"/>
      <protection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2" fillId="3" borderId="11" xfId="0" applyFont="1" applyFill="1" applyBorder="1" applyAlignment="1">
      <alignment vertical="center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4" fontId="11" fillId="3" borderId="2" xfId="20" applyFont="1" applyFill="1" applyBorder="1" applyAlignment="1" applyProtection="1">
      <alignment horizontal="left" vertical="center" wrapText="1"/>
      <protection locked="0"/>
    </xf>
    <xf numFmtId="44" fontId="12" fillId="3" borderId="2" xfId="0" applyNumberFormat="1" applyFont="1" applyFill="1" applyBorder="1" applyAlignment="1">
      <alignment vertical="center"/>
    </xf>
    <xf numFmtId="44" fontId="11" fillId="3" borderId="10" xfId="20" applyFont="1" applyFill="1" applyBorder="1" applyAlignment="1" applyProtection="1">
      <alignment horizontal="right" vertical="center" wrapText="1"/>
      <protection locked="0"/>
    </xf>
    <xf numFmtId="164" fontId="11" fillId="3" borderId="10" xfId="20" applyNumberFormat="1" applyFont="1" applyFill="1" applyBorder="1" applyAlignment="1" applyProtection="1">
      <alignment horizontal="righ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>
      <alignment wrapText="1"/>
    </xf>
    <xf numFmtId="0" fontId="0" fillId="0" borderId="7" xfId="0" applyBorder="1" applyAlignment="1">
      <alignment vertical="center" wrapText="1"/>
    </xf>
    <xf numFmtId="0" fontId="3" fillId="2" borderId="0" xfId="0" applyFont="1" applyFill="1" applyAlignment="1" applyProtection="1">
      <alignment horizontal="center" vertical="center"/>
      <protection/>
    </xf>
    <xf numFmtId="49" fontId="6" fillId="2" borderId="0" xfId="0" applyNumberFormat="1" applyFont="1" applyFill="1" applyAlignment="1" applyProtection="1">
      <alignment horizontal="center" vertical="center"/>
      <protection/>
    </xf>
    <xf numFmtId="10" fontId="7" fillId="2" borderId="0" xfId="0" applyNumberFormat="1" applyFont="1" applyFill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14" fontId="0" fillId="0" borderId="1" xfId="0" applyNumberFormat="1" applyBorder="1" applyAlignment="1">
      <alignment horizontal="center" vertical="center"/>
    </xf>
    <xf numFmtId="44" fontId="0" fillId="0" borderId="7" xfId="0" applyNumberForma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49" fontId="6" fillId="2" borderId="0" xfId="0" applyNumberFormat="1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6" fillId="2" borderId="0" xfId="0" applyNumberFormat="1" applyFont="1" applyFill="1" applyAlignment="1" applyProtection="1">
      <alignment horizontal="right" vertical="center"/>
      <protection/>
    </xf>
    <xf numFmtId="0" fontId="3" fillId="3" borderId="9" xfId="0" applyNumberFormat="1" applyFont="1" applyFill="1" applyBorder="1" applyAlignment="1" applyProtection="1">
      <alignment horizontal="left" vertical="center"/>
      <protection/>
    </xf>
    <xf numFmtId="4" fontId="2" fillId="3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vertical="center"/>
      <protection/>
    </xf>
    <xf numFmtId="49" fontId="7" fillId="2" borderId="0" xfId="0" applyNumberFormat="1" applyFont="1" applyFill="1" applyAlignment="1" applyProtection="1">
      <alignment horizontal="center" vertical="center"/>
      <protection/>
    </xf>
    <xf numFmtId="17" fontId="3" fillId="3" borderId="9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horizontal="right" vertical="center"/>
      <protection/>
    </xf>
    <xf numFmtId="10" fontId="3" fillId="2" borderId="7" xfId="0" applyNumberFormat="1" applyFont="1" applyFill="1" applyBorder="1" applyAlignment="1" applyProtection="1">
      <alignment horizontal="center" vertical="center"/>
      <protection/>
    </xf>
    <xf numFmtId="17" fontId="3" fillId="2" borderId="1" xfId="0" applyNumberFormat="1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vertical="center" wrapText="1"/>
      <protection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wrapText="1"/>
    </xf>
    <xf numFmtId="0" fontId="12" fillId="3" borderId="0" xfId="0" applyFont="1" applyFill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44" fontId="0" fillId="0" borderId="1" xfId="0" applyNumberFormat="1" applyBorder="1"/>
    <xf numFmtId="44" fontId="0" fillId="0" borderId="1" xfId="0" applyNumberFormat="1" applyBorder="1" applyAlignment="1">
      <alignment/>
    </xf>
    <xf numFmtId="44" fontId="12" fillId="0" borderId="1" xfId="0" applyNumberFormat="1" applyFont="1" applyBorder="1" applyAlignment="1">
      <alignment vertical="center"/>
    </xf>
    <xf numFmtId="44" fontId="11" fillId="3" borderId="1" xfId="20" applyNumberFormat="1" applyFont="1" applyFill="1" applyBorder="1" applyAlignment="1" applyProtection="1">
      <alignment horizontal="right" vertical="center" wrapText="1"/>
      <protection locked="0"/>
    </xf>
    <xf numFmtId="44" fontId="14" fillId="3" borderId="10" xfId="0" applyNumberFormat="1" applyFont="1" applyFill="1" applyBorder="1" applyAlignment="1">
      <alignment vertical="center"/>
    </xf>
    <xf numFmtId="4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5" fillId="2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3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163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422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422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422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4229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381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381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9" name="CaixaDeTexto 8"/>
        <xdr:cNvSpPr txBox="1"/>
      </xdr:nvSpPr>
      <xdr:spPr>
        <a:xfrm>
          <a:off x="266700" y="381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10" name="CaixaDeTexto 9"/>
        <xdr:cNvSpPr txBox="1"/>
      </xdr:nvSpPr>
      <xdr:spPr>
        <a:xfrm>
          <a:off x="266700" y="381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123825</xdr:colOff>
      <xdr:row>1</xdr:row>
      <xdr:rowOff>142875</xdr:rowOff>
    </xdr:from>
    <xdr:to>
      <xdr:col>5</xdr:col>
      <xdr:colOff>819150</xdr:colOff>
      <xdr:row>4</xdr:row>
      <xdr:rowOff>828675</xdr:rowOff>
    </xdr:to>
    <xdr:pic>
      <xdr:nvPicPr>
        <xdr:cNvPr id="11" name="Imagem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33375"/>
          <a:ext cx="6686550" cy="1257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152400</xdr:colOff>
      <xdr:row>15</xdr:row>
      <xdr:rowOff>114300</xdr:rowOff>
    </xdr:from>
    <xdr:to>
      <xdr:col>3</xdr:col>
      <xdr:colOff>1085850</xdr:colOff>
      <xdr:row>15</xdr:row>
      <xdr:rowOff>114300</xdr:rowOff>
    </xdr:to>
    <xdr:cxnSp macro="">
      <xdr:nvCxnSpPr>
        <xdr:cNvPr id="13" name="Conector reto 12"/>
        <xdr:cNvCxnSpPr/>
      </xdr:nvCxnSpPr>
      <xdr:spPr>
        <a:xfrm>
          <a:off x="4086225" y="3933825"/>
          <a:ext cx="9334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16</xdr:row>
      <xdr:rowOff>114300</xdr:rowOff>
    </xdr:from>
    <xdr:to>
      <xdr:col>3</xdr:col>
      <xdr:colOff>1066800</xdr:colOff>
      <xdr:row>16</xdr:row>
      <xdr:rowOff>114300</xdr:rowOff>
    </xdr:to>
    <xdr:cxnSp macro="">
      <xdr:nvCxnSpPr>
        <xdr:cNvPr id="14" name="Conector reto 13"/>
        <xdr:cNvCxnSpPr/>
      </xdr:nvCxnSpPr>
      <xdr:spPr>
        <a:xfrm>
          <a:off x="4076700" y="4343400"/>
          <a:ext cx="9239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17</xdr:row>
      <xdr:rowOff>95250</xdr:rowOff>
    </xdr:from>
    <xdr:to>
      <xdr:col>4</xdr:col>
      <xdr:colOff>1123950</xdr:colOff>
      <xdr:row>17</xdr:row>
      <xdr:rowOff>104775</xdr:rowOff>
    </xdr:to>
    <xdr:cxnSp macro="">
      <xdr:nvCxnSpPr>
        <xdr:cNvPr id="15" name="Conector reto 14"/>
        <xdr:cNvCxnSpPr/>
      </xdr:nvCxnSpPr>
      <xdr:spPr>
        <a:xfrm>
          <a:off x="4095750" y="4667250"/>
          <a:ext cx="220027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18</xdr:row>
      <xdr:rowOff>123825</xdr:rowOff>
    </xdr:from>
    <xdr:to>
      <xdr:col>3</xdr:col>
      <xdr:colOff>1095375</xdr:colOff>
      <xdr:row>18</xdr:row>
      <xdr:rowOff>123825</xdr:rowOff>
    </xdr:to>
    <xdr:cxnSp macro="">
      <xdr:nvCxnSpPr>
        <xdr:cNvPr id="16" name="Conector reto 15"/>
        <xdr:cNvCxnSpPr/>
      </xdr:nvCxnSpPr>
      <xdr:spPr>
        <a:xfrm>
          <a:off x="4105275" y="5029200"/>
          <a:ext cx="9239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19</xdr:row>
      <xdr:rowOff>133350</xdr:rowOff>
    </xdr:from>
    <xdr:to>
      <xdr:col>5</xdr:col>
      <xdr:colOff>1095375</xdr:colOff>
      <xdr:row>19</xdr:row>
      <xdr:rowOff>142875</xdr:rowOff>
    </xdr:to>
    <xdr:cxnSp macro="">
      <xdr:nvCxnSpPr>
        <xdr:cNvPr id="17" name="Conector reto 16"/>
        <xdr:cNvCxnSpPr/>
      </xdr:nvCxnSpPr>
      <xdr:spPr>
        <a:xfrm>
          <a:off x="5353050" y="540067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20</xdr:row>
      <xdr:rowOff>142875</xdr:rowOff>
    </xdr:from>
    <xdr:to>
      <xdr:col>5</xdr:col>
      <xdr:colOff>1190625</xdr:colOff>
      <xdr:row>20</xdr:row>
      <xdr:rowOff>142875</xdr:rowOff>
    </xdr:to>
    <xdr:cxnSp macro="">
      <xdr:nvCxnSpPr>
        <xdr:cNvPr id="18" name="Conector reto 17"/>
        <xdr:cNvCxnSpPr/>
      </xdr:nvCxnSpPr>
      <xdr:spPr>
        <a:xfrm>
          <a:off x="5372100" y="5800725"/>
          <a:ext cx="22574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21</xdr:row>
      <xdr:rowOff>142875</xdr:rowOff>
    </xdr:from>
    <xdr:to>
      <xdr:col>5</xdr:col>
      <xdr:colOff>1143000</xdr:colOff>
      <xdr:row>21</xdr:row>
      <xdr:rowOff>142875</xdr:rowOff>
    </xdr:to>
    <xdr:cxnSp macro="">
      <xdr:nvCxnSpPr>
        <xdr:cNvPr id="20" name="Conector reto 19"/>
        <xdr:cNvCxnSpPr/>
      </xdr:nvCxnSpPr>
      <xdr:spPr>
        <a:xfrm>
          <a:off x="5400675" y="6191250"/>
          <a:ext cx="21812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22</xdr:row>
      <xdr:rowOff>161925</xdr:rowOff>
    </xdr:from>
    <xdr:to>
      <xdr:col>5</xdr:col>
      <xdr:colOff>1123950</xdr:colOff>
      <xdr:row>22</xdr:row>
      <xdr:rowOff>171450</xdr:rowOff>
    </xdr:to>
    <xdr:cxnSp macro="">
      <xdr:nvCxnSpPr>
        <xdr:cNvPr id="21" name="Conector reto 20"/>
        <xdr:cNvCxnSpPr/>
      </xdr:nvCxnSpPr>
      <xdr:spPr>
        <a:xfrm flipV="1">
          <a:off x="5410200" y="6610350"/>
          <a:ext cx="215265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23</xdr:row>
      <xdr:rowOff>152400</xdr:rowOff>
    </xdr:from>
    <xdr:to>
      <xdr:col>5</xdr:col>
      <xdr:colOff>1104900</xdr:colOff>
      <xdr:row>23</xdr:row>
      <xdr:rowOff>152400</xdr:rowOff>
    </xdr:to>
    <xdr:cxnSp macro="">
      <xdr:nvCxnSpPr>
        <xdr:cNvPr id="24" name="Conector reto 23"/>
        <xdr:cNvCxnSpPr/>
      </xdr:nvCxnSpPr>
      <xdr:spPr>
        <a:xfrm>
          <a:off x="6619875" y="7000875"/>
          <a:ext cx="9239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24</xdr:row>
      <xdr:rowOff>114300</xdr:rowOff>
    </xdr:from>
    <xdr:to>
      <xdr:col>5</xdr:col>
      <xdr:colOff>1095375</xdr:colOff>
      <xdr:row>24</xdr:row>
      <xdr:rowOff>114300</xdr:rowOff>
    </xdr:to>
    <xdr:cxnSp macro="">
      <xdr:nvCxnSpPr>
        <xdr:cNvPr id="25" name="Conector reto 24"/>
        <xdr:cNvCxnSpPr/>
      </xdr:nvCxnSpPr>
      <xdr:spPr>
        <a:xfrm>
          <a:off x="6610350" y="7372350"/>
          <a:ext cx="9239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25</xdr:row>
      <xdr:rowOff>114300</xdr:rowOff>
    </xdr:from>
    <xdr:to>
      <xdr:col>5</xdr:col>
      <xdr:colOff>1095375</xdr:colOff>
      <xdr:row>25</xdr:row>
      <xdr:rowOff>114300</xdr:rowOff>
    </xdr:to>
    <xdr:cxnSp macro="">
      <xdr:nvCxnSpPr>
        <xdr:cNvPr id="26" name="Conector reto 25"/>
        <xdr:cNvCxnSpPr/>
      </xdr:nvCxnSpPr>
      <xdr:spPr>
        <a:xfrm>
          <a:off x="6600825" y="7715250"/>
          <a:ext cx="9334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19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5086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19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5086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19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5086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19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5086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9" name="CaixaDeTexto 8"/>
        <xdr:cNvSpPr txBox="1"/>
      </xdr:nvSpPr>
      <xdr:spPr>
        <a:xfrm>
          <a:off x="2667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10" name="CaixaDeTexto 9"/>
        <xdr:cNvSpPr txBox="1"/>
      </xdr:nvSpPr>
      <xdr:spPr>
        <a:xfrm>
          <a:off x="266700" y="3467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238125</xdr:colOff>
      <xdr:row>0</xdr:row>
      <xdr:rowOff>114300</xdr:rowOff>
    </xdr:from>
    <xdr:to>
      <xdr:col>8</xdr:col>
      <xdr:colOff>400050</xdr:colOff>
      <xdr:row>6</xdr:row>
      <xdr:rowOff>76200</xdr:rowOff>
    </xdr:to>
    <xdr:pic>
      <xdr:nvPicPr>
        <xdr:cNvPr id="11" name="Imagem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14300"/>
          <a:ext cx="8524875" cy="1609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genharia%20e%20Arquitetura\Arquivos%20compartilhados\05-%20PROJETOS%20OBRAS%201\EDUCA&#199;&#195;O\EMEB%20PAULO\PROJETO%20REFORMA%202022\TTE_EMEB%20PAULO%20SOUZA%20ALVES_OR&#199;_R01_PREFEITUR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2">
          <cell r="B2" t="str">
            <v>PREFEITURA MUNICIPAL DE TIETE</v>
          </cell>
        </row>
        <row r="47">
          <cell r="B47" t="str">
            <v>PREFEITURA MUNICIPAL DE MOGI GUAÇU</v>
          </cell>
          <cell r="C47">
            <v>1</v>
          </cell>
          <cell r="D47">
            <v>0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  <cell r="D48">
            <v>0</v>
          </cell>
        </row>
        <row r="49">
          <cell r="B49" t="str">
            <v>PREFEITURA MUNICIPAL DE SETE BARRAS</v>
          </cell>
          <cell r="C49">
            <v>3</v>
          </cell>
          <cell r="D49">
            <v>0</v>
          </cell>
        </row>
        <row r="50">
          <cell r="B50" t="str">
            <v>PREFEITURA MUNICIPAL DE BOITUVA</v>
          </cell>
          <cell r="C50">
            <v>4</v>
          </cell>
          <cell r="D50">
            <v>0</v>
          </cell>
        </row>
        <row r="51">
          <cell r="B51" t="str">
            <v>PREFEITURA MUNICIPAL DE PAULINIA</v>
          </cell>
          <cell r="C51">
            <v>5</v>
          </cell>
          <cell r="D51">
            <v>0</v>
          </cell>
        </row>
        <row r="52">
          <cell r="B52" t="str">
            <v>PREFEITURA MUNICIPAL DE SÃO CAETANO DO SUL</v>
          </cell>
          <cell r="C52">
            <v>6</v>
          </cell>
          <cell r="D52">
            <v>0</v>
          </cell>
        </row>
        <row r="53">
          <cell r="B53" t="str">
            <v>PREFEITURA MUNICIPAL DE MOGI DAS CRUZES</v>
          </cell>
          <cell r="C53">
            <v>7</v>
          </cell>
          <cell r="D53">
            <v>0</v>
          </cell>
        </row>
        <row r="54">
          <cell r="B54" t="str">
            <v>PREFEITURA MUNICIPAL DE VOTORANTIM</v>
          </cell>
          <cell r="C54">
            <v>8</v>
          </cell>
          <cell r="D54">
            <v>0</v>
          </cell>
        </row>
        <row r="55">
          <cell r="B55" t="str">
            <v>PREFEITURA MUNICIPAL DE CAMPO LIMPO PAULISTA</v>
          </cell>
          <cell r="C55">
            <v>9</v>
          </cell>
          <cell r="D55">
            <v>0</v>
          </cell>
        </row>
        <row r="56">
          <cell r="B56" t="str">
            <v>PREFEITURA MUNICIPAL DE RIO DAS PEDRAS</v>
          </cell>
          <cell r="C56">
            <v>10</v>
          </cell>
          <cell r="D56">
            <v>0</v>
          </cell>
        </row>
        <row r="57">
          <cell r="B57" t="str">
            <v>PREFEITURA MUNICIPAL DE ITU</v>
          </cell>
          <cell r="C57">
            <v>11</v>
          </cell>
          <cell r="D57">
            <v>0</v>
          </cell>
        </row>
        <row r="58">
          <cell r="B58">
            <v>0</v>
          </cell>
          <cell r="C58">
            <v>12</v>
          </cell>
          <cell r="D58">
            <v>0</v>
          </cell>
        </row>
        <row r="59">
          <cell r="B59">
            <v>0</v>
          </cell>
          <cell r="C59">
            <v>13</v>
          </cell>
          <cell r="D59">
            <v>0</v>
          </cell>
        </row>
        <row r="60">
          <cell r="B60">
            <v>0</v>
          </cell>
          <cell r="C60">
            <v>14</v>
          </cell>
          <cell r="D60">
            <v>0</v>
          </cell>
        </row>
        <row r="61">
          <cell r="B61">
            <v>0</v>
          </cell>
          <cell r="C61">
            <v>15</v>
          </cell>
          <cell r="D61">
            <v>0</v>
          </cell>
        </row>
        <row r="62">
          <cell r="B62">
            <v>0</v>
          </cell>
          <cell r="C62">
            <v>16</v>
          </cell>
          <cell r="D62">
            <v>0</v>
          </cell>
        </row>
        <row r="63">
          <cell r="B63">
            <v>0</v>
          </cell>
          <cell r="C63">
            <v>17</v>
          </cell>
          <cell r="D63">
            <v>0</v>
          </cell>
        </row>
        <row r="64">
          <cell r="B64">
            <v>0</v>
          </cell>
          <cell r="C64">
            <v>18</v>
          </cell>
          <cell r="D64">
            <v>0</v>
          </cell>
        </row>
        <row r="65">
          <cell r="B65">
            <v>0</v>
          </cell>
          <cell r="C65">
            <v>19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35"/>
  <sheetViews>
    <sheetView zoomScale="110" zoomScaleNormal="110" workbookViewId="0" topLeftCell="A1">
      <selection activeCell="I33" sqref="I33"/>
    </sheetView>
  </sheetViews>
  <sheetFormatPr defaultColWidth="9.140625" defaultRowHeight="15"/>
  <cols>
    <col min="1" max="1" width="6.7109375" style="17" customWidth="1"/>
    <col min="2" max="2" width="32.8515625" style="17" customWidth="1"/>
    <col min="3" max="3" width="19.421875" style="17" customWidth="1"/>
    <col min="4" max="4" width="18.57421875" style="0" customWidth="1"/>
    <col min="5" max="5" width="19.00390625" style="0" customWidth="1"/>
    <col min="6" max="6" width="18.140625" style="0" customWidth="1"/>
  </cols>
  <sheetData>
    <row r="2" ht="15"/>
    <row r="3" ht="15"/>
    <row r="4" ht="15"/>
    <row r="5" spans="1:4" ht="66" customHeight="1">
      <c r="A5" s="89"/>
      <c r="B5" s="90"/>
      <c r="C5" s="93"/>
      <c r="D5" s="57"/>
    </row>
    <row r="6" spans="1:4" ht="15">
      <c r="A6" s="89"/>
      <c r="B6" s="90"/>
      <c r="C6" s="94"/>
      <c r="D6" s="58"/>
    </row>
    <row r="7" spans="1:4" ht="15">
      <c r="A7" s="89"/>
      <c r="B7" s="90"/>
      <c r="C7" s="96"/>
      <c r="D7" s="59"/>
    </row>
    <row r="8" spans="1:4" ht="22.5" customHeight="1">
      <c r="A8" s="139" t="s">
        <v>119</v>
      </c>
      <c r="B8" s="139"/>
      <c r="C8" s="139"/>
      <c r="D8" s="1"/>
    </row>
    <row r="9" spans="1:4" ht="15.75">
      <c r="A9" s="97" t="s">
        <v>184</v>
      </c>
      <c r="B9" s="98"/>
      <c r="C9" s="93"/>
      <c r="D9" s="32"/>
    </row>
    <row r="10" spans="1:4" ht="15">
      <c r="A10" s="102" t="s">
        <v>185</v>
      </c>
      <c r="B10" s="103"/>
      <c r="C10" s="93"/>
      <c r="D10" s="32"/>
    </row>
    <row r="11" spans="1:4" ht="15">
      <c r="A11" s="98"/>
      <c r="B11" s="103"/>
      <c r="C11" s="93"/>
      <c r="D11" s="32"/>
    </row>
    <row r="12" spans="1:4" ht="15">
      <c r="A12" s="91"/>
      <c r="B12" s="91"/>
      <c r="C12" s="91"/>
      <c r="D12" s="33"/>
    </row>
    <row r="13" spans="1:4" ht="15">
      <c r="A13" s="91"/>
      <c r="B13" s="91"/>
      <c r="C13" s="91"/>
      <c r="D13" s="33"/>
    </row>
    <row r="15" spans="1:6" ht="31.5" customHeight="1">
      <c r="A15" s="83" t="s">
        <v>2</v>
      </c>
      <c r="B15" s="83" t="s">
        <v>4</v>
      </c>
      <c r="C15" s="83" t="s">
        <v>9</v>
      </c>
      <c r="D15" s="83" t="s">
        <v>120</v>
      </c>
      <c r="E15" s="83" t="s">
        <v>121</v>
      </c>
      <c r="F15" s="83" t="s">
        <v>122</v>
      </c>
    </row>
    <row r="16" spans="1:6" ht="32.25" customHeight="1">
      <c r="A16" s="130" t="s">
        <v>107</v>
      </c>
      <c r="B16" s="70" t="s">
        <v>123</v>
      </c>
      <c r="C16" s="134">
        <f>Planilha1!I16</f>
        <v>5022.12729</v>
      </c>
      <c r="D16" s="132">
        <f>C16</f>
        <v>5022.12729</v>
      </c>
      <c r="E16" s="132"/>
      <c r="F16" s="3"/>
    </row>
    <row r="17" spans="1:6" s="17" customFormat="1" ht="27" customHeight="1">
      <c r="A17" s="130" t="s">
        <v>96</v>
      </c>
      <c r="B17" s="70" t="s">
        <v>57</v>
      </c>
      <c r="C17" s="134">
        <f>Planilha1!I20</f>
        <v>10660.168273295</v>
      </c>
      <c r="D17" s="132">
        <f>C17</f>
        <v>10660.168273295</v>
      </c>
      <c r="E17" s="132"/>
      <c r="F17" s="8"/>
    </row>
    <row r="18" spans="1:6" s="17" customFormat="1" ht="26.25" customHeight="1">
      <c r="A18" s="130" t="s">
        <v>25</v>
      </c>
      <c r="B18" s="70" t="s">
        <v>72</v>
      </c>
      <c r="C18" s="134">
        <f>Planilha1!I29</f>
        <v>14782.561309914749</v>
      </c>
      <c r="D18" s="132">
        <f>C18/2</f>
        <v>7391.280654957374</v>
      </c>
      <c r="E18" s="132">
        <f>C18/2</f>
        <v>7391.280654957374</v>
      </c>
      <c r="F18" s="8"/>
    </row>
    <row r="19" spans="1:6" s="17" customFormat="1" ht="28.5" customHeight="1">
      <c r="A19" s="130" t="s">
        <v>29</v>
      </c>
      <c r="B19" s="70" t="s">
        <v>75</v>
      </c>
      <c r="C19" s="134">
        <f>Planilha1!I36</f>
        <v>4867.94552055</v>
      </c>
      <c r="D19" s="132">
        <f>C19</f>
        <v>4867.94552055</v>
      </c>
      <c r="E19" s="132"/>
      <c r="F19" s="8"/>
    </row>
    <row r="20" spans="1:6" s="17" customFormat="1" ht="30.75" customHeight="1">
      <c r="A20" s="130" t="s">
        <v>31</v>
      </c>
      <c r="B20" s="70" t="s">
        <v>32</v>
      </c>
      <c r="C20" s="134">
        <f>Planilha1!I38</f>
        <v>35128.048627922355</v>
      </c>
      <c r="D20" s="132"/>
      <c r="E20" s="132">
        <f>C20/2</f>
        <v>17564.024313961178</v>
      </c>
      <c r="F20" s="13">
        <f>C20/2</f>
        <v>17564.024313961178</v>
      </c>
    </row>
    <row r="21" spans="1:6" s="17" customFormat="1" ht="30.75" customHeight="1">
      <c r="A21" s="130" t="s">
        <v>35</v>
      </c>
      <c r="B21" s="70" t="s">
        <v>76</v>
      </c>
      <c r="C21" s="134">
        <f>Planilha1!I41</f>
        <v>6001.18700654</v>
      </c>
      <c r="D21" s="132"/>
      <c r="E21" s="132">
        <f>C21/2</f>
        <v>3000.59350327</v>
      </c>
      <c r="F21" s="13">
        <f>C21/2</f>
        <v>3000.59350327</v>
      </c>
    </row>
    <row r="22" spans="1:6" ht="31.5" customHeight="1">
      <c r="A22" s="130" t="s">
        <v>38</v>
      </c>
      <c r="B22" s="70" t="s">
        <v>169</v>
      </c>
      <c r="C22" s="134">
        <f>Planilha1!I44</f>
        <v>828.63202</v>
      </c>
      <c r="D22" s="132"/>
      <c r="E22" s="132">
        <f>C22/2</f>
        <v>414.31601</v>
      </c>
      <c r="F22" s="131">
        <f>C22/2</f>
        <v>414.31601</v>
      </c>
    </row>
    <row r="23" spans="1:6" s="17" customFormat="1" ht="31.5" customHeight="1">
      <c r="A23" s="130" t="s">
        <v>40</v>
      </c>
      <c r="B23" s="70" t="s">
        <v>41</v>
      </c>
      <c r="C23" s="134">
        <f>Planilha1!I47</f>
        <v>1265.0423149837397</v>
      </c>
      <c r="D23" s="132"/>
      <c r="E23" s="132">
        <f>C23/2</f>
        <v>632.5211574918699</v>
      </c>
      <c r="F23" s="13">
        <f>C23/2</f>
        <v>632.5211574918699</v>
      </c>
    </row>
    <row r="24" spans="1:6" s="17" customFormat="1" ht="32.25" customHeight="1">
      <c r="A24" s="130" t="s">
        <v>48</v>
      </c>
      <c r="B24" s="70" t="s">
        <v>49</v>
      </c>
      <c r="C24" s="134">
        <f>Planilha1!I56</f>
        <v>2896.5876928200005</v>
      </c>
      <c r="D24" s="132"/>
      <c r="E24" s="132"/>
      <c r="F24" s="13">
        <f>C24</f>
        <v>2896.5876928200005</v>
      </c>
    </row>
    <row r="25" spans="1:6" s="17" customFormat="1" ht="27" customHeight="1">
      <c r="A25" s="130" t="s">
        <v>54</v>
      </c>
      <c r="B25" s="70" t="s">
        <v>77</v>
      </c>
      <c r="C25" s="134">
        <f>Planilha1!I60</f>
        <v>3939.6624783599996</v>
      </c>
      <c r="D25" s="132"/>
      <c r="E25" s="132"/>
      <c r="F25" s="13">
        <f>C25</f>
        <v>3939.6624783599996</v>
      </c>
    </row>
    <row r="26" spans="1:6" ht="26.25" customHeight="1">
      <c r="A26" s="130" t="s">
        <v>79</v>
      </c>
      <c r="B26" s="70" t="s">
        <v>189</v>
      </c>
      <c r="C26" s="134">
        <f>Planilha1!I63</f>
        <v>4869.030800702</v>
      </c>
      <c r="D26" s="132"/>
      <c r="E26" s="132"/>
      <c r="F26" s="131">
        <f>C26</f>
        <v>4869.030800702</v>
      </c>
    </row>
    <row r="27" spans="1:6" ht="29.25" customHeight="1">
      <c r="A27" s="53"/>
      <c r="B27" s="55"/>
      <c r="C27" s="135">
        <f>C25+C24+C23+C22+C21+C20+C19+C18+C17+C16+C26</f>
        <v>90260.99333508786</v>
      </c>
      <c r="D27" s="133">
        <f>SUM(D16:D26)</f>
        <v>27941.521738802374</v>
      </c>
      <c r="E27" s="133">
        <f>SUM(E16:E26)</f>
        <v>29002.735639680417</v>
      </c>
      <c r="F27" s="136">
        <f>SUM(F16:F26)</f>
        <v>33316.73595660504</v>
      </c>
    </row>
    <row r="29" spans="1:6" ht="15">
      <c r="A29" s="138" t="s">
        <v>183</v>
      </c>
      <c r="B29" s="138"/>
      <c r="C29" s="138"/>
      <c r="D29" s="138"/>
      <c r="E29" s="138"/>
      <c r="F29" s="138"/>
    </row>
    <row r="30" spans="1:6" ht="15">
      <c r="A30" s="123"/>
      <c r="B30" s="123"/>
      <c r="C30" s="123"/>
      <c r="D30" s="123"/>
      <c r="E30" s="123"/>
      <c r="F30" s="137"/>
    </row>
    <row r="31" spans="1:6" ht="15">
      <c r="A31" s="123"/>
      <c r="B31" s="123"/>
      <c r="C31" s="123"/>
      <c r="D31" s="123"/>
      <c r="E31" s="123"/>
      <c r="F31" s="137"/>
    </row>
    <row r="32" spans="1:6" ht="15">
      <c r="A32" s="138" t="s">
        <v>93</v>
      </c>
      <c r="B32" s="138"/>
      <c r="C32" s="138"/>
      <c r="D32" s="138"/>
      <c r="E32" s="138"/>
      <c r="F32" s="138"/>
    </row>
    <row r="33" spans="1:6" ht="15">
      <c r="A33" s="138" t="s">
        <v>94</v>
      </c>
      <c r="B33" s="138"/>
      <c r="C33" s="138"/>
      <c r="D33" s="138"/>
      <c r="E33" s="138"/>
      <c r="F33" s="138"/>
    </row>
    <row r="34" spans="1:6" ht="15">
      <c r="A34" s="138" t="s">
        <v>95</v>
      </c>
      <c r="B34" s="138"/>
      <c r="C34" s="138"/>
      <c r="D34" s="138"/>
      <c r="E34" s="138"/>
      <c r="F34" s="138"/>
    </row>
    <row r="35" ht="15">
      <c r="C35" s="122"/>
    </row>
  </sheetData>
  <mergeCells count="5">
    <mergeCell ref="A29:F29"/>
    <mergeCell ref="A32:F32"/>
    <mergeCell ref="A33:F33"/>
    <mergeCell ref="A34:F34"/>
    <mergeCell ref="A8:C8"/>
  </mergeCells>
  <conditionalFormatting sqref="A17 C16:C21 C23:C26">
    <cfRule type="expression" priority="76" dxfId="1">
      <formula>IF($F16="I",TRUE,FALSE)</formula>
    </cfRule>
    <cfRule type="expression" priority="77" dxfId="0">
      <formula>IF($F16="T",TRUE,FALSE)</formula>
    </cfRule>
  </conditionalFormatting>
  <conditionalFormatting sqref="A18">
    <cfRule type="expression" priority="74" dxfId="1">
      <formula>IF($F18="I",TRUE,FALSE)</formula>
    </cfRule>
    <cfRule type="expression" priority="75" dxfId="0">
      <formula>IF($F18="T",TRUE,FALSE)</formula>
    </cfRule>
  </conditionalFormatting>
  <conditionalFormatting sqref="A19">
    <cfRule type="expression" priority="69" dxfId="1">
      <formula>IF($F19="I",TRUE,FALSE)</formula>
    </cfRule>
    <cfRule type="expression" priority="70" dxfId="0">
      <formula>IF($F19="T",TRUE,FALSE)</formula>
    </cfRule>
  </conditionalFormatting>
  <conditionalFormatting sqref="A20">
    <cfRule type="expression" priority="65" dxfId="1">
      <formula>IF($F20="I",TRUE,FALSE)</formula>
    </cfRule>
    <cfRule type="expression" priority="66" dxfId="0">
      <formula>IF($F20="T",TRUE,FALSE)</formula>
    </cfRule>
  </conditionalFormatting>
  <conditionalFormatting sqref="A21">
    <cfRule type="expression" priority="61" dxfId="1">
      <formula>IF($F21="I",TRUE,FALSE)</formula>
    </cfRule>
    <cfRule type="expression" priority="62" dxfId="0">
      <formula>IF($F21="T",TRUE,FALSE)</formula>
    </cfRule>
  </conditionalFormatting>
  <conditionalFormatting sqref="A23">
    <cfRule type="expression" priority="59" dxfId="1">
      <formula>IF($F23="I",TRUE,FALSE)</formula>
    </cfRule>
    <cfRule type="expression" priority="60" dxfId="0">
      <formula>IF($F23="T",TRUE,FALSE)</formula>
    </cfRule>
  </conditionalFormatting>
  <conditionalFormatting sqref="A24">
    <cfRule type="expression" priority="57" dxfId="1">
      <formula>IF($F24="I",TRUE,FALSE)</formula>
    </cfRule>
    <cfRule type="expression" priority="58" dxfId="0">
      <formula>IF($F24="T",TRUE,FALSE)</formula>
    </cfRule>
  </conditionalFormatting>
  <conditionalFormatting sqref="A25">
    <cfRule type="expression" priority="55" dxfId="1">
      <formula>IF($F25="I",TRUE,FALSE)</formula>
    </cfRule>
    <cfRule type="expression" priority="56" dxfId="0">
      <formula>IF($F25="T",TRUE,FALSE)</formula>
    </cfRule>
  </conditionalFormatting>
  <conditionalFormatting sqref="A22">
    <cfRule type="expression" priority="25" dxfId="1">
      <formula>IF($F22="I",TRUE,FALSE)</formula>
    </cfRule>
    <cfRule type="expression" priority="26" dxfId="0">
      <formula>IF($F22="T",TRUE,FALSE)</formula>
    </cfRule>
  </conditionalFormatting>
  <conditionalFormatting sqref="C22">
    <cfRule type="expression" priority="27" dxfId="1">
      <formula>IF($F22="I",TRUE,FALSE)</formula>
    </cfRule>
    <cfRule type="expression" priority="28" dxfId="0">
      <formula>IF($F22="T",TRUE,FALSE)</formula>
    </cfRule>
  </conditionalFormatting>
  <conditionalFormatting sqref="A16">
    <cfRule type="expression" priority="23" dxfId="1">
      <formula>IF($F16="I",TRUE,FALSE)</formula>
    </cfRule>
    <cfRule type="expression" priority="24" dxfId="0">
      <formula>IF($F16="T",TRUE,FALSE)</formula>
    </cfRule>
  </conditionalFormatting>
  <conditionalFormatting sqref="A26">
    <cfRule type="expression" priority="7" dxfId="1">
      <formula>IF($F26="I",TRUE,FALSE)</formula>
    </cfRule>
    <cfRule type="expression" priority="8" dxfId="0">
      <formula>IF($F26="T",TRUE,FALSE)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4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75"/>
  <sheetViews>
    <sheetView tabSelected="1" zoomScale="110" zoomScaleNormal="110" workbookViewId="0" topLeftCell="A1">
      <selection activeCell="K8" sqref="K8"/>
    </sheetView>
  </sheetViews>
  <sheetFormatPr defaultColWidth="9.140625" defaultRowHeight="15"/>
  <cols>
    <col min="1" max="1" width="6.7109375" style="17" customWidth="1"/>
    <col min="2" max="2" width="10.8515625" style="21" bestFit="1" customWidth="1"/>
    <col min="3" max="3" width="10.8515625" style="21" customWidth="1"/>
    <col min="4" max="4" width="54.8515625" style="17" customWidth="1"/>
    <col min="5" max="5" width="10.28125" style="17" customWidth="1"/>
    <col min="6" max="6" width="9.140625" style="21" customWidth="1"/>
    <col min="7" max="7" width="14.57421875" style="17" customWidth="1"/>
    <col min="8" max="8" width="14.8515625" style="17" customWidth="1"/>
    <col min="9" max="9" width="16.421875" style="17" customWidth="1"/>
    <col min="11" max="11" width="12.28125" style="0" bestFit="1" customWidth="1"/>
  </cols>
  <sheetData>
    <row r="1" ht="15"/>
    <row r="2" ht="15"/>
    <row r="3" ht="15"/>
    <row r="4" ht="15"/>
    <row r="5" spans="1:10" ht="54.75" customHeight="1">
      <c r="A5" s="89"/>
      <c r="B5" s="80"/>
      <c r="C5" s="80"/>
      <c r="D5" s="90"/>
      <c r="E5" s="91"/>
      <c r="F5" s="80"/>
      <c r="G5" s="142"/>
      <c r="H5" s="92"/>
      <c r="I5" s="93"/>
      <c r="J5" s="57"/>
    </row>
    <row r="6" spans="1:10" ht="15">
      <c r="A6" s="89"/>
      <c r="B6" s="80"/>
      <c r="C6" s="80"/>
      <c r="D6" s="90"/>
      <c r="E6" s="91"/>
      <c r="F6" s="80"/>
      <c r="G6" s="142"/>
      <c r="H6" s="92"/>
      <c r="I6" s="94"/>
      <c r="J6" s="58"/>
    </row>
    <row r="7" spans="1:10" ht="15">
      <c r="A7" s="89"/>
      <c r="B7" s="80"/>
      <c r="C7" s="80"/>
      <c r="D7" s="90"/>
      <c r="E7" s="91"/>
      <c r="F7" s="80"/>
      <c r="G7" s="142"/>
      <c r="H7" s="95"/>
      <c r="I7" s="96"/>
      <c r="J7" s="59"/>
    </row>
    <row r="8" spans="1:10" ht="22.5" customHeight="1">
      <c r="A8" s="139" t="s">
        <v>105</v>
      </c>
      <c r="B8" s="139"/>
      <c r="C8" s="139"/>
      <c r="D8" s="139"/>
      <c r="E8" s="139"/>
      <c r="F8" s="139"/>
      <c r="G8" s="139"/>
      <c r="H8" s="139"/>
      <c r="I8" s="139"/>
      <c r="J8" s="1"/>
    </row>
    <row r="9" spans="1:10" ht="15.75">
      <c r="A9" s="97" t="s">
        <v>184</v>
      </c>
      <c r="B9" s="81"/>
      <c r="C9" s="81"/>
      <c r="D9" s="98"/>
      <c r="E9" s="99"/>
      <c r="F9" s="81"/>
      <c r="G9" s="143" t="s">
        <v>53</v>
      </c>
      <c r="H9" s="100" t="s">
        <v>186</v>
      </c>
      <c r="I9" s="101"/>
      <c r="J9" s="32"/>
    </row>
    <row r="10" spans="1:10" ht="15">
      <c r="A10" s="102" t="s">
        <v>185</v>
      </c>
      <c r="B10" s="82"/>
      <c r="C10" s="80"/>
      <c r="D10" s="103"/>
      <c r="E10" s="103"/>
      <c r="F10" s="104"/>
      <c r="G10" s="143"/>
      <c r="H10" s="105" t="s">
        <v>187</v>
      </c>
      <c r="I10" s="101"/>
      <c r="J10" s="32"/>
    </row>
    <row r="11" spans="1:10" ht="15">
      <c r="A11" s="98"/>
      <c r="B11" s="82"/>
      <c r="C11" s="80"/>
      <c r="D11" s="103"/>
      <c r="E11" s="103"/>
      <c r="F11" s="104"/>
      <c r="G11" s="143"/>
      <c r="H11" s="105" t="s">
        <v>188</v>
      </c>
      <c r="I11" s="101"/>
      <c r="J11" s="32"/>
    </row>
    <row r="12" spans="1:10" ht="15">
      <c r="A12" s="91"/>
      <c r="B12" s="80"/>
      <c r="C12" s="80"/>
      <c r="D12" s="91"/>
      <c r="E12" s="91"/>
      <c r="F12" s="106"/>
      <c r="G12" s="107" t="s">
        <v>1</v>
      </c>
      <c r="H12" s="108">
        <v>0.2247</v>
      </c>
      <c r="I12" s="91"/>
      <c r="J12" s="33"/>
    </row>
    <row r="13" spans="1:10" ht="15">
      <c r="A13" s="91"/>
      <c r="B13" s="80"/>
      <c r="C13" s="80"/>
      <c r="D13" s="91"/>
      <c r="E13" s="91"/>
      <c r="F13" s="106"/>
      <c r="G13" s="107" t="s">
        <v>0</v>
      </c>
      <c r="H13" s="109">
        <v>44986</v>
      </c>
      <c r="I13" s="91"/>
      <c r="J13" s="33"/>
    </row>
    <row r="15" spans="1:9" ht="15">
      <c r="A15" s="110" t="s">
        <v>2</v>
      </c>
      <c r="B15" s="83" t="s">
        <v>3</v>
      </c>
      <c r="C15" s="83" t="s">
        <v>99</v>
      </c>
      <c r="D15" s="110" t="s">
        <v>4</v>
      </c>
      <c r="E15" s="110" t="s">
        <v>5</v>
      </c>
      <c r="F15" s="83" t="s">
        <v>6</v>
      </c>
      <c r="G15" s="110" t="s">
        <v>7</v>
      </c>
      <c r="H15" s="110" t="s">
        <v>8</v>
      </c>
      <c r="I15" s="110" t="s">
        <v>9</v>
      </c>
    </row>
    <row r="16" spans="1:9" ht="21" customHeight="1">
      <c r="A16" s="68" t="s">
        <v>107</v>
      </c>
      <c r="B16" s="69"/>
      <c r="C16" s="69"/>
      <c r="D16" s="70" t="s">
        <v>123</v>
      </c>
      <c r="E16" s="71"/>
      <c r="F16" s="72"/>
      <c r="G16" s="73"/>
      <c r="H16" s="74"/>
      <c r="I16" s="75">
        <f>SUM(I17:I19)</f>
        <v>5022.12729</v>
      </c>
    </row>
    <row r="17" spans="1:9" ht="46.5" customHeight="1">
      <c r="A17" s="42" t="s">
        <v>108</v>
      </c>
      <c r="B17" s="112" t="s">
        <v>128</v>
      </c>
      <c r="C17" s="24" t="s">
        <v>10</v>
      </c>
      <c r="D17" s="44" t="s">
        <v>127</v>
      </c>
      <c r="E17" s="43" t="s">
        <v>24</v>
      </c>
      <c r="F17" s="60">
        <f>MEMÓRIA!D4</f>
        <v>65</v>
      </c>
      <c r="G17" s="27">
        <v>7.56</v>
      </c>
      <c r="H17" s="27">
        <f>G17*H12+G17</f>
        <v>9.258732</v>
      </c>
      <c r="I17" s="13">
        <f>H17*F17</f>
        <v>601.81758</v>
      </c>
    </row>
    <row r="18" spans="1:9" ht="30">
      <c r="A18" s="8" t="s">
        <v>109</v>
      </c>
      <c r="B18" s="20" t="s">
        <v>125</v>
      </c>
      <c r="C18" s="10" t="s">
        <v>10</v>
      </c>
      <c r="D18" s="4" t="s">
        <v>124</v>
      </c>
      <c r="E18" s="36" t="s">
        <v>24</v>
      </c>
      <c r="F18" s="40">
        <f>MEMÓRIA!D5</f>
        <v>17.5</v>
      </c>
      <c r="G18" s="13">
        <v>22.2</v>
      </c>
      <c r="H18" s="13">
        <f>G18*H12+G18</f>
        <v>27.18834</v>
      </c>
      <c r="I18" s="85">
        <f>H18*F18</f>
        <v>475.79595</v>
      </c>
    </row>
    <row r="19" spans="1:9" ht="30">
      <c r="A19" s="8" t="s">
        <v>110</v>
      </c>
      <c r="B19" s="112" t="s">
        <v>131</v>
      </c>
      <c r="C19" s="10" t="s">
        <v>10</v>
      </c>
      <c r="D19" s="6" t="s">
        <v>130</v>
      </c>
      <c r="E19" s="36" t="s">
        <v>132</v>
      </c>
      <c r="F19" s="40">
        <f>MEMÓRIA!D6</f>
        <v>4</v>
      </c>
      <c r="G19" s="13">
        <v>805.2</v>
      </c>
      <c r="H19" s="13">
        <f>G19*H12+G19</f>
        <v>986.1284400000001</v>
      </c>
      <c r="I19" s="13">
        <f>H19*F19</f>
        <v>3944.5137600000003</v>
      </c>
    </row>
    <row r="20" spans="1:9" s="17" customFormat="1" ht="27" customHeight="1">
      <c r="A20" s="68" t="s">
        <v>96</v>
      </c>
      <c r="B20" s="69"/>
      <c r="C20" s="69"/>
      <c r="D20" s="70" t="s">
        <v>57</v>
      </c>
      <c r="E20" s="71"/>
      <c r="F20" s="72"/>
      <c r="G20" s="73"/>
      <c r="H20" s="74"/>
      <c r="I20" s="75">
        <f>SUM(I22:I28)</f>
        <v>10660.168273295</v>
      </c>
    </row>
    <row r="21" spans="1:9" s="17" customFormat="1" ht="18" customHeight="1">
      <c r="A21" s="8" t="s">
        <v>16</v>
      </c>
      <c r="B21" s="112" t="s">
        <v>135</v>
      </c>
      <c r="C21" s="10" t="s">
        <v>10</v>
      </c>
      <c r="D21" s="17" t="s">
        <v>134</v>
      </c>
      <c r="E21" s="36" t="s">
        <v>23</v>
      </c>
      <c r="F21" s="40">
        <f>MEMÓRIA!D8</f>
        <v>36.23</v>
      </c>
      <c r="G21" s="13">
        <v>16.36</v>
      </c>
      <c r="H21" s="13">
        <f>G21*H12+G21</f>
        <v>20.036092</v>
      </c>
      <c r="I21" s="13">
        <f>H21*F21</f>
        <v>725.90761316</v>
      </c>
    </row>
    <row r="22" spans="1:9" s="17" customFormat="1" ht="30">
      <c r="A22" s="8" t="s">
        <v>17</v>
      </c>
      <c r="B22" s="20" t="s">
        <v>64</v>
      </c>
      <c r="C22" s="10" t="s">
        <v>10</v>
      </c>
      <c r="D22" s="9" t="s">
        <v>58</v>
      </c>
      <c r="E22" s="36" t="s">
        <v>24</v>
      </c>
      <c r="F22" s="40">
        <f>MEMÓRIA!D9</f>
        <v>1.77</v>
      </c>
      <c r="G22" s="13">
        <v>58.41</v>
      </c>
      <c r="H22" s="13">
        <f>H12*G22+G22</f>
        <v>71.534727</v>
      </c>
      <c r="I22" s="13">
        <f>H22*F22</f>
        <v>126.61646679</v>
      </c>
    </row>
    <row r="23" spans="1:9" ht="15">
      <c r="A23" s="8" t="s">
        <v>18</v>
      </c>
      <c r="B23" s="36" t="s">
        <v>65</v>
      </c>
      <c r="C23" s="10" t="s">
        <v>10</v>
      </c>
      <c r="D23" s="35" t="s">
        <v>59</v>
      </c>
      <c r="E23" s="36" t="s">
        <v>24</v>
      </c>
      <c r="F23" s="40">
        <f>MEMÓRIA!D10</f>
        <v>1.475</v>
      </c>
      <c r="G23" s="13">
        <v>171.37</v>
      </c>
      <c r="H23" s="13">
        <f>H12*G23+G23</f>
        <v>209.87683900000002</v>
      </c>
      <c r="I23" s="13">
        <f aca="true" t="shared" si="0" ref="I23:I28">H23*F23</f>
        <v>309.56833752500006</v>
      </c>
    </row>
    <row r="24" spans="1:9" ht="15">
      <c r="A24" s="8" t="s">
        <v>19</v>
      </c>
      <c r="B24" s="36" t="s">
        <v>66</v>
      </c>
      <c r="C24" s="10" t="s">
        <v>10</v>
      </c>
      <c r="D24" s="35" t="s">
        <v>60</v>
      </c>
      <c r="E24" s="36" t="s">
        <v>24</v>
      </c>
      <c r="F24" s="40">
        <f>MEMÓRIA!D11</f>
        <v>1.77</v>
      </c>
      <c r="G24" s="13">
        <v>456.42</v>
      </c>
      <c r="H24" s="13">
        <f>H12*G24+G24</f>
        <v>558.977574</v>
      </c>
      <c r="I24" s="13">
        <f t="shared" si="0"/>
        <v>989.39030598</v>
      </c>
    </row>
    <row r="25" spans="1:9" s="17" customFormat="1" ht="30">
      <c r="A25" s="8" t="s">
        <v>20</v>
      </c>
      <c r="B25" s="20" t="s">
        <v>67</v>
      </c>
      <c r="C25" s="10" t="s">
        <v>10</v>
      </c>
      <c r="D25" s="9" t="s">
        <v>61</v>
      </c>
      <c r="E25" s="36" t="s">
        <v>24</v>
      </c>
      <c r="F25" s="40">
        <f>MEMÓRIA!D12</f>
        <v>1.77</v>
      </c>
      <c r="G25" s="13">
        <v>164.2</v>
      </c>
      <c r="H25" s="13">
        <f>H12*G25+G25</f>
        <v>201.09573999999998</v>
      </c>
      <c r="I25" s="13">
        <f t="shared" si="0"/>
        <v>355.93945979999995</v>
      </c>
    </row>
    <row r="26" spans="1:9" ht="15">
      <c r="A26" s="8" t="s">
        <v>21</v>
      </c>
      <c r="B26" s="36" t="s">
        <v>68</v>
      </c>
      <c r="C26" s="10" t="s">
        <v>10</v>
      </c>
      <c r="D26" s="35" t="s">
        <v>62</v>
      </c>
      <c r="E26" s="36" t="s">
        <v>23</v>
      </c>
      <c r="F26" s="40">
        <f>MEMÓRIA!D13</f>
        <v>17.7</v>
      </c>
      <c r="G26" s="13">
        <v>98.55</v>
      </c>
      <c r="H26" s="13">
        <f>H12*G26+G26</f>
        <v>120.694185</v>
      </c>
      <c r="I26" s="13">
        <f t="shared" si="0"/>
        <v>2136.2870745</v>
      </c>
    </row>
    <row r="27" spans="1:9" ht="15">
      <c r="A27" s="8" t="s">
        <v>22</v>
      </c>
      <c r="B27" s="36" t="s">
        <v>69</v>
      </c>
      <c r="C27" s="10" t="s">
        <v>10</v>
      </c>
      <c r="D27" s="35" t="s">
        <v>63</v>
      </c>
      <c r="E27" s="36" t="s">
        <v>15</v>
      </c>
      <c r="F27" s="40">
        <f>MEMÓRIA!D14</f>
        <v>141.6</v>
      </c>
      <c r="G27" s="13">
        <v>11.46</v>
      </c>
      <c r="H27" s="13">
        <f>H12*G27+G27</f>
        <v>14.035062000000002</v>
      </c>
      <c r="I27" s="13">
        <f t="shared" si="0"/>
        <v>1987.3647792000002</v>
      </c>
    </row>
    <row r="28" spans="1:9" ht="15">
      <c r="A28" s="8" t="s">
        <v>98</v>
      </c>
      <c r="B28" s="112" t="s">
        <v>142</v>
      </c>
      <c r="C28" s="10" t="s">
        <v>10</v>
      </c>
      <c r="D28" t="s">
        <v>141</v>
      </c>
      <c r="E28" s="36" t="s">
        <v>11</v>
      </c>
      <c r="F28" s="40">
        <f>MEMÓRIA!D15</f>
        <v>51.5</v>
      </c>
      <c r="G28" s="13">
        <v>75.39</v>
      </c>
      <c r="H28" s="13">
        <f>H12*G28+G28</f>
        <v>92.330133</v>
      </c>
      <c r="I28" s="13">
        <f t="shared" si="0"/>
        <v>4755.0018495</v>
      </c>
    </row>
    <row r="29" spans="1:9" s="17" customFormat="1" ht="26.25" customHeight="1">
      <c r="A29" s="68" t="s">
        <v>25</v>
      </c>
      <c r="B29" s="69"/>
      <c r="C29" s="69"/>
      <c r="D29" s="70" t="s">
        <v>72</v>
      </c>
      <c r="E29" s="71"/>
      <c r="F29" s="72"/>
      <c r="G29" s="73"/>
      <c r="H29" s="74"/>
      <c r="I29" s="76">
        <f>SUM(I30:I35)</f>
        <v>14782.561309914749</v>
      </c>
    </row>
    <row r="30" spans="1:9" ht="15">
      <c r="A30" s="41" t="s">
        <v>26</v>
      </c>
      <c r="B30" s="36" t="s">
        <v>66</v>
      </c>
      <c r="C30" s="10" t="s">
        <v>10</v>
      </c>
      <c r="D30" s="39" t="s">
        <v>60</v>
      </c>
      <c r="E30" s="36" t="s">
        <v>24</v>
      </c>
      <c r="F30" s="40">
        <f>MEMÓRIA!D17</f>
        <v>2.0519999999999996</v>
      </c>
      <c r="G30" s="13">
        <v>456.42</v>
      </c>
      <c r="H30" s="111">
        <f>H12*G30+G30</f>
        <v>558.977574</v>
      </c>
      <c r="I30" s="111">
        <f>H30*F30</f>
        <v>1147.0219818479998</v>
      </c>
    </row>
    <row r="31" spans="1:9" ht="15">
      <c r="A31" s="41" t="s">
        <v>28</v>
      </c>
      <c r="B31" s="20" t="s">
        <v>67</v>
      </c>
      <c r="C31" s="10" t="s">
        <v>10</v>
      </c>
      <c r="D31" s="8" t="s">
        <v>61</v>
      </c>
      <c r="E31" s="36" t="s">
        <v>24</v>
      </c>
      <c r="F31" s="40">
        <f>MEMÓRIA!D18</f>
        <v>2.0519999999999996</v>
      </c>
      <c r="G31" s="13">
        <v>164.2</v>
      </c>
      <c r="H31" s="111">
        <f>H12*G31+G31</f>
        <v>201.09573999999998</v>
      </c>
      <c r="I31" s="111">
        <f aca="true" t="shared" si="1" ref="I31:I34">H31*F31</f>
        <v>412.6484584799999</v>
      </c>
    </row>
    <row r="32" spans="1:9" ht="15">
      <c r="A32" s="41" t="s">
        <v>100</v>
      </c>
      <c r="B32" s="36" t="s">
        <v>69</v>
      </c>
      <c r="C32" s="10" t="s">
        <v>10</v>
      </c>
      <c r="D32" s="39" t="s">
        <v>63</v>
      </c>
      <c r="E32" s="36" t="s">
        <v>15</v>
      </c>
      <c r="F32" s="40">
        <f>MEMÓRIA!D19</f>
        <v>164.15999999999997</v>
      </c>
      <c r="G32" s="13">
        <f>G27</f>
        <v>11.46</v>
      </c>
      <c r="H32" s="111">
        <f>H12*G32+G32</f>
        <v>14.035062000000002</v>
      </c>
      <c r="I32" s="111">
        <f t="shared" si="1"/>
        <v>2303.99577792</v>
      </c>
    </row>
    <row r="33" spans="1:9" ht="15">
      <c r="A33" s="41" t="s">
        <v>143</v>
      </c>
      <c r="B33" s="36" t="s">
        <v>73</v>
      </c>
      <c r="C33" s="10" t="s">
        <v>10</v>
      </c>
      <c r="D33" s="39" t="s">
        <v>70</v>
      </c>
      <c r="E33" s="36" t="s">
        <v>23</v>
      </c>
      <c r="F33" s="40">
        <f>MEMÓRIA!D20</f>
        <v>27.36</v>
      </c>
      <c r="G33" s="13">
        <v>188.73</v>
      </c>
      <c r="H33" s="111">
        <f>H12*G33+G33</f>
        <v>231.137631</v>
      </c>
      <c r="I33" s="111">
        <f t="shared" si="1"/>
        <v>6323.92558416</v>
      </c>
    </row>
    <row r="34" spans="1:9" ht="15">
      <c r="A34" s="41" t="s">
        <v>144</v>
      </c>
      <c r="B34" s="20" t="s">
        <v>74</v>
      </c>
      <c r="C34" s="10" t="s">
        <v>10</v>
      </c>
      <c r="D34" s="8" t="s">
        <v>71</v>
      </c>
      <c r="E34" s="36" t="s">
        <v>24</v>
      </c>
      <c r="F34" s="40">
        <f>MEMÓRIA!D21</f>
        <v>0.8122499999999999</v>
      </c>
      <c r="G34" s="13">
        <v>1815.49</v>
      </c>
      <c r="H34" s="111">
        <f>H12*G34+G34</f>
        <v>2223.430603</v>
      </c>
      <c r="I34" s="111">
        <f t="shared" si="1"/>
        <v>1805.9815072867495</v>
      </c>
    </row>
    <row r="35" spans="1:9" ht="30">
      <c r="A35" s="41" t="s">
        <v>148</v>
      </c>
      <c r="B35" s="112" t="s">
        <v>146</v>
      </c>
      <c r="C35" s="10" t="s">
        <v>10</v>
      </c>
      <c r="D35" s="6" t="s">
        <v>145</v>
      </c>
      <c r="E35" s="36" t="s">
        <v>23</v>
      </c>
      <c r="F35" s="40">
        <f>MEMÓRIA!D22</f>
        <v>13.77</v>
      </c>
      <c r="G35" s="13">
        <v>165.38</v>
      </c>
      <c r="H35" s="111">
        <f>G35*H12+G35</f>
        <v>202.540886</v>
      </c>
      <c r="I35" s="111">
        <f>H35*F35</f>
        <v>2788.98800022</v>
      </c>
    </row>
    <row r="36" spans="1:9" s="17" customFormat="1" ht="28.5" customHeight="1">
      <c r="A36" s="68" t="s">
        <v>29</v>
      </c>
      <c r="B36" s="69"/>
      <c r="C36" s="69"/>
      <c r="D36" s="70" t="s">
        <v>75</v>
      </c>
      <c r="E36" s="71"/>
      <c r="F36" s="72"/>
      <c r="G36" s="73"/>
      <c r="H36" s="74"/>
      <c r="I36" s="76">
        <f>I37</f>
        <v>4867.94552055</v>
      </c>
    </row>
    <row r="37" spans="1:9" ht="30">
      <c r="A37" s="41" t="s">
        <v>30</v>
      </c>
      <c r="B37" s="112" t="s">
        <v>160</v>
      </c>
      <c r="C37" s="20" t="s">
        <v>10</v>
      </c>
      <c r="D37" s="6" t="s">
        <v>161</v>
      </c>
      <c r="E37" s="10" t="s">
        <v>23</v>
      </c>
      <c r="F37" s="11">
        <f>MEMÓRIA!D24</f>
        <v>43.05</v>
      </c>
      <c r="G37" s="12">
        <v>92.33</v>
      </c>
      <c r="H37" s="13">
        <f>H12*G37+G37</f>
        <v>113.076551</v>
      </c>
      <c r="I37" s="14">
        <f>H37*F37</f>
        <v>4867.94552055</v>
      </c>
    </row>
    <row r="38" spans="1:9" s="17" customFormat="1" ht="23.25" customHeight="1">
      <c r="A38" s="68" t="s">
        <v>31</v>
      </c>
      <c r="B38" s="69"/>
      <c r="C38" s="69"/>
      <c r="D38" s="70" t="s">
        <v>32</v>
      </c>
      <c r="E38" s="71"/>
      <c r="F38" s="72"/>
      <c r="G38" s="73"/>
      <c r="H38" s="74"/>
      <c r="I38" s="76">
        <f>SUM(I39+I40)</f>
        <v>35128.048627922355</v>
      </c>
    </row>
    <row r="39" spans="1:9" ht="15">
      <c r="A39" s="42" t="s">
        <v>33</v>
      </c>
      <c r="B39" s="112" t="s">
        <v>153</v>
      </c>
      <c r="C39" s="23" t="s">
        <v>10</v>
      </c>
      <c r="D39" t="s">
        <v>152</v>
      </c>
      <c r="E39" s="24" t="s">
        <v>23</v>
      </c>
      <c r="F39" s="25">
        <f>MEMÓRIA!D26</f>
        <v>4.41</v>
      </c>
      <c r="G39" s="12">
        <v>737.45</v>
      </c>
      <c r="H39" s="27">
        <f>H12*G39+G39</f>
        <v>903.155015</v>
      </c>
      <c r="I39" s="28">
        <f aca="true" t="shared" si="2" ref="I39">H39*F39</f>
        <v>3982.9136161500005</v>
      </c>
    </row>
    <row r="40" spans="1:9" ht="30">
      <c r="A40" s="8" t="s">
        <v>34</v>
      </c>
      <c r="B40" s="84" t="s">
        <v>156</v>
      </c>
      <c r="C40" s="20" t="s">
        <v>27</v>
      </c>
      <c r="D40" s="4" t="s">
        <v>155</v>
      </c>
      <c r="E40" s="10" t="s">
        <v>23</v>
      </c>
      <c r="F40" s="11">
        <f>MEMÓRIA!D27</f>
        <v>50.31999999999999</v>
      </c>
      <c r="G40" s="12">
        <f>621.62/1.23</f>
        <v>505.3821138211382</v>
      </c>
      <c r="H40" s="13">
        <f>H12*G40+G40</f>
        <v>618.941474796748</v>
      </c>
      <c r="I40" s="14">
        <f>H40*F40</f>
        <v>31145.135011772356</v>
      </c>
    </row>
    <row r="41" spans="1:9" s="17" customFormat="1" ht="21.75" customHeight="1">
      <c r="A41" s="68" t="s">
        <v>35</v>
      </c>
      <c r="B41" s="69"/>
      <c r="C41" s="69"/>
      <c r="D41" s="70" t="s">
        <v>76</v>
      </c>
      <c r="E41" s="71"/>
      <c r="F41" s="72"/>
      <c r="G41" s="73"/>
      <c r="H41" s="74"/>
      <c r="I41" s="76">
        <f>SUM(I42:I43)</f>
        <v>6001.18700654</v>
      </c>
    </row>
    <row r="42" spans="1:9" ht="60">
      <c r="A42" s="77" t="s">
        <v>36</v>
      </c>
      <c r="B42" s="20">
        <v>94995</v>
      </c>
      <c r="C42" s="20" t="s">
        <v>163</v>
      </c>
      <c r="D42" s="4" t="s">
        <v>162</v>
      </c>
      <c r="E42" s="10" t="s">
        <v>23</v>
      </c>
      <c r="F42" s="11">
        <f>MEMÓRIA!D29</f>
        <v>53.54</v>
      </c>
      <c r="G42" s="34">
        <v>89.58</v>
      </c>
      <c r="H42" s="13">
        <f>G42*H12+G42</f>
        <v>109.708626</v>
      </c>
      <c r="I42" s="34">
        <f aca="true" t="shared" si="3" ref="I42">H42*F42</f>
        <v>5873.79983604</v>
      </c>
    </row>
    <row r="43" spans="1:9" ht="15">
      <c r="A43" s="77" t="s">
        <v>37</v>
      </c>
      <c r="B43" s="5" t="s">
        <v>166</v>
      </c>
      <c r="C43" s="20" t="s">
        <v>10</v>
      </c>
      <c r="D43" t="s">
        <v>165</v>
      </c>
      <c r="E43" s="10" t="s">
        <v>23</v>
      </c>
      <c r="F43" s="11">
        <f>MEMÓRIA!D30</f>
        <v>7.1</v>
      </c>
      <c r="G43" s="34">
        <v>14.65</v>
      </c>
      <c r="H43" s="13">
        <f>G43*H12+G43</f>
        <v>17.941855</v>
      </c>
      <c r="I43" s="34">
        <f aca="true" t="shared" si="4" ref="I43">H43*F43</f>
        <v>127.3871705</v>
      </c>
    </row>
    <row r="44" spans="1:9" ht="25.5" customHeight="1">
      <c r="A44" s="68" t="s">
        <v>38</v>
      </c>
      <c r="B44" s="69"/>
      <c r="C44" s="69"/>
      <c r="D44" s="70" t="s">
        <v>169</v>
      </c>
      <c r="E44" s="71"/>
      <c r="F44" s="72"/>
      <c r="G44" s="73"/>
      <c r="H44" s="74"/>
      <c r="I44" s="75">
        <f>SUM(I45:I46)</f>
        <v>828.63202</v>
      </c>
    </row>
    <row r="45" spans="1:9" ht="30">
      <c r="A45" s="22" t="s">
        <v>39</v>
      </c>
      <c r="B45" s="112" t="s">
        <v>168</v>
      </c>
      <c r="C45" s="23" t="s">
        <v>10</v>
      </c>
      <c r="D45" s="6" t="s">
        <v>167</v>
      </c>
      <c r="E45" s="24" t="s">
        <v>11</v>
      </c>
      <c r="F45" s="25">
        <v>20</v>
      </c>
      <c r="G45" s="26">
        <v>31.35</v>
      </c>
      <c r="H45" s="27">
        <f>G45*H12+G45</f>
        <v>38.394345</v>
      </c>
      <c r="I45" s="28">
        <f>H45*F45</f>
        <v>767.8869</v>
      </c>
    </row>
    <row r="46" spans="1:9" ht="30">
      <c r="A46" s="7" t="s">
        <v>97</v>
      </c>
      <c r="B46" s="20" t="s">
        <v>85</v>
      </c>
      <c r="C46" s="20" t="s">
        <v>10</v>
      </c>
      <c r="D46" s="4" t="s">
        <v>84</v>
      </c>
      <c r="E46" s="10" t="s">
        <v>12</v>
      </c>
      <c r="F46" s="11">
        <v>1</v>
      </c>
      <c r="G46" s="12">
        <v>49.6</v>
      </c>
      <c r="H46" s="13">
        <f>G46*H12+G46</f>
        <v>60.74512</v>
      </c>
      <c r="I46" s="14">
        <f>H46*F46</f>
        <v>60.74512</v>
      </c>
    </row>
    <row r="47" spans="1:9" s="17" customFormat="1" ht="24.75" customHeight="1">
      <c r="A47" s="68" t="s">
        <v>40</v>
      </c>
      <c r="B47" s="69"/>
      <c r="C47" s="69"/>
      <c r="D47" s="70" t="s">
        <v>41</v>
      </c>
      <c r="E47" s="71"/>
      <c r="F47" s="72"/>
      <c r="G47" s="73"/>
      <c r="H47" s="74"/>
      <c r="I47" s="76">
        <f>SUM(I48:I55)</f>
        <v>1265.0423149837397</v>
      </c>
    </row>
    <row r="48" spans="1:9" ht="30">
      <c r="A48" s="7" t="s">
        <v>43</v>
      </c>
      <c r="B48" s="20" t="s">
        <v>87</v>
      </c>
      <c r="C48" s="20" t="s">
        <v>10</v>
      </c>
      <c r="D48" s="9" t="s">
        <v>86</v>
      </c>
      <c r="E48" s="10" t="s">
        <v>11</v>
      </c>
      <c r="F48" s="11">
        <f>MEMÓRIA!D35</f>
        <v>45</v>
      </c>
      <c r="G48" s="12">
        <v>3.49</v>
      </c>
      <c r="H48" s="13">
        <f>H12*G48+G48</f>
        <v>4.274203</v>
      </c>
      <c r="I48" s="14">
        <f>H48*F48</f>
        <v>192.339135</v>
      </c>
    </row>
    <row r="49" spans="1:9" ht="30">
      <c r="A49" s="7" t="s">
        <v>44</v>
      </c>
      <c r="B49" s="20" t="s">
        <v>89</v>
      </c>
      <c r="C49" s="20" t="s">
        <v>10</v>
      </c>
      <c r="D49" s="9" t="s">
        <v>88</v>
      </c>
      <c r="E49" s="10" t="s">
        <v>11</v>
      </c>
      <c r="F49" s="11">
        <f>MEMÓRIA!D36</f>
        <v>15</v>
      </c>
      <c r="G49" s="12">
        <v>4.4</v>
      </c>
      <c r="H49" s="13">
        <f>H12*G49+G49</f>
        <v>5.388680000000001</v>
      </c>
      <c r="I49" s="14">
        <f aca="true" t="shared" si="5" ref="I49:I51">H49*F49</f>
        <v>80.83020000000002</v>
      </c>
    </row>
    <row r="50" spans="1:9" ht="15">
      <c r="A50" s="7" t="s">
        <v>45</v>
      </c>
      <c r="B50" s="20" t="s">
        <v>90</v>
      </c>
      <c r="C50" s="20" t="s">
        <v>10</v>
      </c>
      <c r="D50" s="8" t="s">
        <v>42</v>
      </c>
      <c r="E50" s="10" t="s">
        <v>47</v>
      </c>
      <c r="F50" s="11">
        <f>MEMÓRIA!D37</f>
        <v>2</v>
      </c>
      <c r="G50" s="12">
        <v>24.96</v>
      </c>
      <c r="H50" s="13">
        <f>H12*G50+G50</f>
        <v>30.568512000000002</v>
      </c>
      <c r="I50" s="14">
        <f t="shared" si="5"/>
        <v>61.137024000000004</v>
      </c>
    </row>
    <row r="51" spans="1:9" ht="30">
      <c r="A51" s="7" t="s">
        <v>46</v>
      </c>
      <c r="B51" s="20" t="s">
        <v>92</v>
      </c>
      <c r="C51" s="20" t="s">
        <v>10</v>
      </c>
      <c r="D51" s="9" t="s">
        <v>91</v>
      </c>
      <c r="E51" s="10" t="s">
        <v>11</v>
      </c>
      <c r="F51" s="11">
        <f>MEMÓRIA!D38</f>
        <v>25</v>
      </c>
      <c r="G51" s="34">
        <v>7.27</v>
      </c>
      <c r="H51" s="13">
        <f>H12*G51+G51</f>
        <v>8.903569</v>
      </c>
      <c r="I51" s="34">
        <f t="shared" si="5"/>
        <v>222.58922499999997</v>
      </c>
    </row>
    <row r="52" spans="1:9" ht="25.5">
      <c r="A52" s="7" t="s">
        <v>101</v>
      </c>
      <c r="B52" s="112" t="s">
        <v>171</v>
      </c>
      <c r="C52" s="10" t="s">
        <v>10</v>
      </c>
      <c r="D52" s="7" t="str">
        <f>MEMÓRIA!B39</f>
        <v>Luminária retangular de sobrepor tipo calha aberta, para 2 lâmpadas fluorescentes tubulares de 32 W</v>
      </c>
      <c r="E52" s="29" t="s">
        <v>5</v>
      </c>
      <c r="F52" s="11">
        <f>MEMÓRIA!D39</f>
        <v>3</v>
      </c>
      <c r="G52" s="31">
        <v>68.57</v>
      </c>
      <c r="H52" s="13">
        <f>H12*G52+G52</f>
        <v>83.977679</v>
      </c>
      <c r="I52" s="30">
        <f>H52*F52</f>
        <v>251.93303699999998</v>
      </c>
    </row>
    <row r="53" spans="1:9" ht="63" customHeight="1">
      <c r="A53" s="7" t="s">
        <v>114</v>
      </c>
      <c r="B53" s="87" t="s">
        <v>112</v>
      </c>
      <c r="C53" s="10" t="s">
        <v>113</v>
      </c>
      <c r="D53" s="9" t="s">
        <v>111</v>
      </c>
      <c r="E53" s="10" t="s">
        <v>5</v>
      </c>
      <c r="F53" s="11">
        <f>MEMÓRIA!D40</f>
        <v>6</v>
      </c>
      <c r="G53" s="31">
        <v>33.46</v>
      </c>
      <c r="H53" s="13">
        <f>G53*H12+G53</f>
        <v>40.978462</v>
      </c>
      <c r="I53" s="30">
        <f>H53*F53</f>
        <v>245.870772</v>
      </c>
    </row>
    <row r="54" spans="1:9" ht="30">
      <c r="A54" s="7" t="s">
        <v>174</v>
      </c>
      <c r="B54" s="112" t="s">
        <v>173</v>
      </c>
      <c r="C54" s="10" t="s">
        <v>27</v>
      </c>
      <c r="D54" s="6" t="s">
        <v>172</v>
      </c>
      <c r="E54" s="10" t="s">
        <v>5</v>
      </c>
      <c r="F54" s="11">
        <f>MEMÓRIA!D41</f>
        <v>1</v>
      </c>
      <c r="G54" s="31">
        <f>143.8/1.23</f>
        <v>116.91056910569107</v>
      </c>
      <c r="H54" s="13">
        <f>G54*H12+G54</f>
        <v>143.18037398373986</v>
      </c>
      <c r="I54" s="30">
        <f>H54*F54</f>
        <v>143.18037398373986</v>
      </c>
    </row>
    <row r="55" spans="1:9" ht="30">
      <c r="A55" s="7" t="s">
        <v>175</v>
      </c>
      <c r="B55" s="20" t="s">
        <v>104</v>
      </c>
      <c r="C55" s="10" t="s">
        <v>10</v>
      </c>
      <c r="D55" s="9" t="s">
        <v>103</v>
      </c>
      <c r="E55" s="10" t="s">
        <v>5</v>
      </c>
      <c r="F55" s="11">
        <f>MEMÓRIA!D42</f>
        <v>2</v>
      </c>
      <c r="G55" s="31">
        <v>27.42</v>
      </c>
      <c r="H55" s="13">
        <f>G55*H12+G55</f>
        <v>33.581274</v>
      </c>
      <c r="I55" s="30">
        <f>H55*F55</f>
        <v>67.162548</v>
      </c>
    </row>
    <row r="56" spans="1:9" s="17" customFormat="1" ht="24" customHeight="1">
      <c r="A56" s="68" t="s">
        <v>48</v>
      </c>
      <c r="B56" s="69"/>
      <c r="C56" s="69"/>
      <c r="D56" s="70" t="s">
        <v>49</v>
      </c>
      <c r="E56" s="71"/>
      <c r="F56" s="72"/>
      <c r="G56" s="73"/>
      <c r="H56" s="74"/>
      <c r="I56" s="76">
        <f>SUM(I57:I59)</f>
        <v>2896.5876928200005</v>
      </c>
    </row>
    <row r="57" spans="1:9" ht="69" customHeight="1">
      <c r="A57" s="8" t="s">
        <v>50</v>
      </c>
      <c r="B57" s="21">
        <v>92543</v>
      </c>
      <c r="C57" s="50" t="s">
        <v>163</v>
      </c>
      <c r="D57" s="4" t="s">
        <v>176</v>
      </c>
      <c r="E57" s="50" t="s">
        <v>23</v>
      </c>
      <c r="F57" s="40">
        <f>MEMÓRIA!D44</f>
        <v>22.005000000000003</v>
      </c>
      <c r="G57" s="13">
        <v>27.25</v>
      </c>
      <c r="H57" s="13">
        <f>H12*G57+G57</f>
        <v>33.373075</v>
      </c>
      <c r="I57" s="13">
        <f aca="true" t="shared" si="6" ref="I57:I59">H57*F57</f>
        <v>734.3745153750001</v>
      </c>
    </row>
    <row r="58" spans="1:9" ht="66.75" customHeight="1">
      <c r="A58" s="8" t="s">
        <v>51</v>
      </c>
      <c r="B58" s="20">
        <v>94207</v>
      </c>
      <c r="C58" s="50" t="s">
        <v>163</v>
      </c>
      <c r="D58" s="6" t="s">
        <v>177</v>
      </c>
      <c r="E58" s="50" t="s">
        <v>23</v>
      </c>
      <c r="F58" s="40">
        <f>MEMÓRIA!D45</f>
        <v>22.005000000000003</v>
      </c>
      <c r="G58" s="13">
        <v>45.67</v>
      </c>
      <c r="H58" s="13">
        <f>H12*G58+G58</f>
        <v>55.932049000000006</v>
      </c>
      <c r="I58" s="13">
        <f t="shared" si="6"/>
        <v>1230.7847382450002</v>
      </c>
    </row>
    <row r="59" spans="1:9" ht="15">
      <c r="A59" s="8" t="s">
        <v>52</v>
      </c>
      <c r="B59" s="20" t="s">
        <v>118</v>
      </c>
      <c r="C59" s="50" t="s">
        <v>10</v>
      </c>
      <c r="D59" s="8" t="s">
        <v>117</v>
      </c>
      <c r="E59" s="50" t="s">
        <v>11</v>
      </c>
      <c r="F59" s="40">
        <f>MEMÓRIA!D46</f>
        <v>21.6</v>
      </c>
      <c r="G59" s="13">
        <v>35.21</v>
      </c>
      <c r="H59" s="13">
        <f>H12*G59+G59</f>
        <v>43.121687</v>
      </c>
      <c r="I59" s="13">
        <f t="shared" si="6"/>
        <v>931.4284392000001</v>
      </c>
    </row>
    <row r="60" spans="1:9" s="17" customFormat="1" ht="27" customHeight="1">
      <c r="A60" s="68" t="s">
        <v>54</v>
      </c>
      <c r="B60" s="69"/>
      <c r="C60" s="69"/>
      <c r="D60" s="70" t="s">
        <v>77</v>
      </c>
      <c r="E60" s="71"/>
      <c r="F60" s="72"/>
      <c r="G60" s="73"/>
      <c r="H60" s="74"/>
      <c r="I60" s="76">
        <f>SUM(I61:I62)</f>
        <v>3939.6624783599996</v>
      </c>
    </row>
    <row r="61" spans="1:9" ht="15">
      <c r="A61" s="8" t="s">
        <v>55</v>
      </c>
      <c r="B61" s="20" t="s">
        <v>116</v>
      </c>
      <c r="C61" s="51" t="s">
        <v>10</v>
      </c>
      <c r="D61" s="8" t="s">
        <v>181</v>
      </c>
      <c r="E61" s="20" t="s">
        <v>23</v>
      </c>
      <c r="F61" s="40">
        <f>MEMÓRIA!D48</f>
        <v>86.1</v>
      </c>
      <c r="G61" s="13">
        <v>33.89</v>
      </c>
      <c r="H61" s="13">
        <f>H12*G61+G61</f>
        <v>41.505083</v>
      </c>
      <c r="I61" s="13">
        <f>H61*F61</f>
        <v>3573.5876462999995</v>
      </c>
    </row>
    <row r="62" spans="1:9" ht="15">
      <c r="A62" s="8" t="s">
        <v>56</v>
      </c>
      <c r="B62" s="112" t="s">
        <v>116</v>
      </c>
      <c r="C62" s="51" t="s">
        <v>10</v>
      </c>
      <c r="D62" s="17" t="s">
        <v>182</v>
      </c>
      <c r="E62" s="20" t="s">
        <v>23</v>
      </c>
      <c r="F62" s="40">
        <f>MEMÓRIA!D49</f>
        <v>8.82</v>
      </c>
      <c r="G62" s="13">
        <v>33.89</v>
      </c>
      <c r="H62" s="13">
        <f>G62*H12+G62</f>
        <v>41.505083</v>
      </c>
      <c r="I62" s="13">
        <f>H62*F62</f>
        <v>366.07483206</v>
      </c>
    </row>
    <row r="63" spans="1:9" ht="26.25" customHeight="1">
      <c r="A63" s="68" t="s">
        <v>79</v>
      </c>
      <c r="B63" s="69"/>
      <c r="C63" s="69"/>
      <c r="D63" s="70" t="s">
        <v>189</v>
      </c>
      <c r="E63" s="71"/>
      <c r="F63" s="72"/>
      <c r="G63" s="73"/>
      <c r="H63" s="74"/>
      <c r="I63" s="76">
        <f>SUM(I64:I66)</f>
        <v>4869.030800702</v>
      </c>
    </row>
    <row r="64" spans="1:9" ht="45">
      <c r="A64" s="8" t="s">
        <v>81</v>
      </c>
      <c r="B64" s="113">
        <v>102073</v>
      </c>
      <c r="C64" s="51" t="s">
        <v>163</v>
      </c>
      <c r="D64" s="6" t="s">
        <v>190</v>
      </c>
      <c r="E64" s="20" t="s">
        <v>24</v>
      </c>
      <c r="F64" s="40">
        <f>MEMÓRIA!D51</f>
        <v>0.45325000000000004</v>
      </c>
      <c r="G64" s="13">
        <v>3611.28</v>
      </c>
      <c r="H64" s="13">
        <f>G64*H12+G64</f>
        <v>4422.734616000001</v>
      </c>
      <c r="I64" s="13">
        <f>H64*F64</f>
        <v>2004.6044647020005</v>
      </c>
    </row>
    <row r="65" spans="1:9" ht="15">
      <c r="A65" s="8" t="s">
        <v>82</v>
      </c>
      <c r="B65" s="20" t="s">
        <v>192</v>
      </c>
      <c r="C65" s="51" t="s">
        <v>10</v>
      </c>
      <c r="D65" s="3" t="s">
        <v>191</v>
      </c>
      <c r="E65" s="20" t="s">
        <v>11</v>
      </c>
      <c r="F65" s="40">
        <f>MEMÓRIA!D52</f>
        <v>5.5</v>
      </c>
      <c r="G65" s="13">
        <v>212.16</v>
      </c>
      <c r="H65" s="13">
        <f>G65*H12+G65</f>
        <v>259.832352</v>
      </c>
      <c r="I65" s="13">
        <f>H65*F65</f>
        <v>1429.0779360000001</v>
      </c>
    </row>
    <row r="66" spans="1:9" ht="15">
      <c r="A66" s="8" t="s">
        <v>83</v>
      </c>
      <c r="B66" s="5" t="s">
        <v>166</v>
      </c>
      <c r="C66" s="20" t="s">
        <v>10</v>
      </c>
      <c r="D66" t="s">
        <v>165</v>
      </c>
      <c r="E66" s="10" t="s">
        <v>23</v>
      </c>
      <c r="F66" s="11">
        <f>MEMÓRIA!D53</f>
        <v>80</v>
      </c>
      <c r="G66" s="34">
        <v>14.65</v>
      </c>
      <c r="H66" s="13">
        <f>G66*H12+G66</f>
        <v>17.941855</v>
      </c>
      <c r="I66" s="13">
        <f>H66*F66</f>
        <v>1435.3484</v>
      </c>
    </row>
    <row r="67" spans="1:9" ht="29.25" customHeight="1">
      <c r="A67" s="53"/>
      <c r="B67" s="54"/>
      <c r="C67" s="54"/>
      <c r="D67" s="55"/>
      <c r="E67" s="141" t="s">
        <v>80</v>
      </c>
      <c r="F67" s="141"/>
      <c r="G67" s="141"/>
      <c r="H67" s="141"/>
      <c r="I67" s="56">
        <f>I60+I56+I47+I44+I41+I38+I36+I29+I20+I16+I63</f>
        <v>90260.99333508786</v>
      </c>
    </row>
    <row r="69" spans="5:9" ht="15">
      <c r="E69" s="140" t="s">
        <v>183</v>
      </c>
      <c r="F69" s="140"/>
      <c r="G69" s="140"/>
      <c r="H69" s="140"/>
      <c r="I69" s="140"/>
    </row>
    <row r="70" spans="5:9" ht="15">
      <c r="E70" s="21"/>
      <c r="G70" s="21"/>
      <c r="H70" s="21"/>
      <c r="I70" s="21"/>
    </row>
    <row r="72" spans="5:9" ht="15">
      <c r="E72" s="140" t="s">
        <v>93</v>
      </c>
      <c r="F72" s="140"/>
      <c r="G72" s="140"/>
      <c r="H72" s="140"/>
      <c r="I72" s="140"/>
    </row>
    <row r="73" spans="5:9" ht="15">
      <c r="E73" s="140" t="s">
        <v>94</v>
      </c>
      <c r="F73" s="140"/>
      <c r="G73" s="140"/>
      <c r="H73" s="140"/>
      <c r="I73" s="140"/>
    </row>
    <row r="74" spans="5:9" ht="15">
      <c r="E74" s="140" t="s">
        <v>95</v>
      </c>
      <c r="F74" s="140"/>
      <c r="G74" s="140"/>
      <c r="H74" s="140"/>
      <c r="I74" s="140"/>
    </row>
    <row r="75" spans="5:9" ht="15">
      <c r="E75" s="140"/>
      <c r="F75" s="140"/>
      <c r="G75" s="140"/>
      <c r="H75" s="140"/>
      <c r="I75" s="140"/>
    </row>
  </sheetData>
  <mergeCells count="9">
    <mergeCell ref="E73:I73"/>
    <mergeCell ref="E74:I74"/>
    <mergeCell ref="E75:I75"/>
    <mergeCell ref="E67:H67"/>
    <mergeCell ref="G5:G7"/>
    <mergeCell ref="G9:G11"/>
    <mergeCell ref="E69:I69"/>
    <mergeCell ref="E72:I72"/>
    <mergeCell ref="A8:I8"/>
  </mergeCells>
  <conditionalFormatting sqref="B22:D22 F42 A42 I42 E45:G46 I45:I46 A45:A46 A48:A55 E48:G51 I48:I51">
    <cfRule type="expression" priority="359" dxfId="1">
      <formula>IF($L22="I",TRUE,FALSE)</formula>
    </cfRule>
    <cfRule type="expression" priority="360" dxfId="0">
      <formula>IF($L22="T",TRUE,FALSE)</formula>
    </cfRule>
  </conditionalFormatting>
  <conditionalFormatting sqref="C22 C18:C19">
    <cfRule type="expression" priority="358" dxfId="67">
      <formula>IF($L18="I",TRUE,FALSE)</formula>
    </cfRule>
  </conditionalFormatting>
  <conditionalFormatting sqref="B23:D25">
    <cfRule type="expression" priority="295" dxfId="1">
      <formula>IF($L23="I",TRUE,FALSE)</formula>
    </cfRule>
    <cfRule type="expression" priority="296" dxfId="0">
      <formula>IF($L23="T",TRUE,FALSE)</formula>
    </cfRule>
  </conditionalFormatting>
  <conditionalFormatting sqref="C23:C25">
    <cfRule type="expression" priority="294" dxfId="67">
      <formula>IF($L23="I",TRUE,FALSE)</formula>
    </cfRule>
  </conditionalFormatting>
  <conditionalFormatting sqref="B26:D27 C28">
    <cfRule type="expression" priority="292" dxfId="1">
      <formula>IF($L26="I",TRUE,FALSE)</formula>
    </cfRule>
    <cfRule type="expression" priority="293" dxfId="0">
      <formula>IF($L26="T",TRUE,FALSE)</formula>
    </cfRule>
  </conditionalFormatting>
  <conditionalFormatting sqref="C26:C28">
    <cfRule type="expression" priority="291" dxfId="67">
      <formula>IF($L26="I",TRUE,FALSE)</formula>
    </cfRule>
  </conditionalFormatting>
  <conditionalFormatting sqref="A20 I20 E20:G20">
    <cfRule type="expression" priority="289" dxfId="1">
      <formula>IF($L20="I",TRUE,FALSE)</formula>
    </cfRule>
    <cfRule type="expression" priority="290" dxfId="0">
      <formula>IF($L20="T",TRUE,FALSE)</formula>
    </cfRule>
  </conditionalFormatting>
  <conditionalFormatting sqref="A29 I29 E29:G29">
    <cfRule type="expression" priority="287" dxfId="1">
      <formula>IF($L29="I",TRUE,FALSE)</formula>
    </cfRule>
    <cfRule type="expression" priority="288" dxfId="0">
      <formula>IF($L29="T",TRUE,FALSE)</formula>
    </cfRule>
  </conditionalFormatting>
  <conditionalFormatting sqref="C30:C35">
    <cfRule type="expression" priority="285" dxfId="1">
      <formula>IF($L30="I",TRUE,FALSE)</formula>
    </cfRule>
    <cfRule type="expression" priority="286" dxfId="0">
      <formula>IF($L30="T",TRUE,FALSE)</formula>
    </cfRule>
  </conditionalFormatting>
  <conditionalFormatting sqref="C30:C35">
    <cfRule type="expression" priority="284" dxfId="67">
      <formula>IF($L30="I",TRUE,FALSE)</formula>
    </cfRule>
  </conditionalFormatting>
  <conditionalFormatting sqref="A36 I36 E36:G36">
    <cfRule type="expression" priority="282" dxfId="1">
      <formula>IF($L36="I",TRUE,FALSE)</formula>
    </cfRule>
    <cfRule type="expression" priority="283" dxfId="0">
      <formula>IF($L36="T",TRUE,FALSE)</formula>
    </cfRule>
  </conditionalFormatting>
  <conditionalFormatting sqref="E37:G37 I37">
    <cfRule type="expression" priority="280" dxfId="1">
      <formula>IF($L37="I",TRUE,FALSE)</formula>
    </cfRule>
    <cfRule type="expression" priority="281" dxfId="0">
      <formula>IF($L37="T",TRUE,FALSE)</formula>
    </cfRule>
  </conditionalFormatting>
  <conditionalFormatting sqref="A38 I38 E38:G38">
    <cfRule type="expression" priority="278" dxfId="1">
      <formula>IF($L38="I",TRUE,FALSE)</formula>
    </cfRule>
    <cfRule type="expression" priority="279" dxfId="0">
      <formula>IF($L38="T",TRUE,FALSE)</formula>
    </cfRule>
  </conditionalFormatting>
  <conditionalFormatting sqref="F40 I40">
    <cfRule type="expression" priority="276" dxfId="1">
      <formula>IF($L40="I",TRUE,FALSE)</formula>
    </cfRule>
    <cfRule type="expression" priority="277" dxfId="0">
      <formula>IF($L40="T",TRUE,FALSE)</formula>
    </cfRule>
  </conditionalFormatting>
  <conditionalFormatting sqref="A41 I41 E41:G41">
    <cfRule type="expression" priority="266" dxfId="1">
      <formula>IF($L41="I",TRUE,FALSE)</formula>
    </cfRule>
    <cfRule type="expression" priority="267" dxfId="0">
      <formula>IF($L41="T",TRUE,FALSE)</formula>
    </cfRule>
  </conditionalFormatting>
  <conditionalFormatting sqref="A47 I47 E47:G47">
    <cfRule type="expression" priority="258" dxfId="1">
      <formula>IF($L47="I",TRUE,FALSE)</formula>
    </cfRule>
    <cfRule type="expression" priority="259" dxfId="0">
      <formula>IF($L47="T",TRUE,FALSE)</formula>
    </cfRule>
  </conditionalFormatting>
  <conditionalFormatting sqref="A56 I56 E56:G56">
    <cfRule type="expression" priority="252" dxfId="1">
      <formula>IF($L56="I",TRUE,FALSE)</formula>
    </cfRule>
    <cfRule type="expression" priority="253" dxfId="0">
      <formula>IF($L56="T",TRUE,FALSE)</formula>
    </cfRule>
  </conditionalFormatting>
  <conditionalFormatting sqref="A60 I60 E60:G60">
    <cfRule type="expression" priority="250" dxfId="1">
      <formula>IF($L60="I",TRUE,FALSE)</formula>
    </cfRule>
    <cfRule type="expression" priority="251" dxfId="0">
      <formula>IF($L60="T",TRUE,FALSE)</formula>
    </cfRule>
  </conditionalFormatting>
  <conditionalFormatting sqref="F52:G55 I52:I55">
    <cfRule type="expression" priority="220" dxfId="1">
      <formula>IF($L52="I",TRUE,FALSE)</formula>
    </cfRule>
    <cfRule type="expression" priority="221" dxfId="0">
      <formula>IF($L52="T",TRUE,FALSE)</formula>
    </cfRule>
  </conditionalFormatting>
  <conditionalFormatting sqref="D52">
    <cfRule type="expression" priority="218" dxfId="1">
      <formula>IF($L52="I",TRUE,FALSE)</formula>
    </cfRule>
    <cfRule type="expression" priority="219" dxfId="0">
      <formula>IF($L52="T",TRUE,FALSE)</formula>
    </cfRule>
  </conditionalFormatting>
  <conditionalFormatting sqref="C52 C54:C55">
    <cfRule type="expression" priority="214" dxfId="1">
      <formula>IF($L52="I",TRUE,FALSE)</formula>
    </cfRule>
    <cfRule type="expression" priority="215" dxfId="0">
      <formula>IF($L52="T",TRUE,FALSE)</formula>
    </cfRule>
  </conditionalFormatting>
  <conditionalFormatting sqref="C52 C54:C55">
    <cfRule type="expression" priority="213" dxfId="67">
      <formula>IF($L52="I",TRUE,FALSE)</formula>
    </cfRule>
  </conditionalFormatting>
  <conditionalFormatting sqref="E52 E54:E55">
    <cfRule type="expression" priority="211" dxfId="1">
      <formula>IF($L52="I",TRUE,FALSE)</formula>
    </cfRule>
    <cfRule type="expression" priority="212" dxfId="0">
      <formula>IF($L52="T",TRUE,FALSE)</formula>
    </cfRule>
  </conditionalFormatting>
  <conditionalFormatting sqref="F39 I39">
    <cfRule type="expression" priority="124" dxfId="1">
      <formula>IF($L39="I",TRUE,FALSE)</formula>
    </cfRule>
    <cfRule type="expression" priority="125" dxfId="0">
      <formula>IF($L39="T",TRUE,FALSE)</formula>
    </cfRule>
  </conditionalFormatting>
  <conditionalFormatting sqref="E39">
    <cfRule type="expression" priority="96" dxfId="1">
      <formula>IF($L39="I",TRUE,FALSE)</formula>
    </cfRule>
    <cfRule type="expression" priority="97" dxfId="0">
      <formula>IF($L39="T",TRUE,FALSE)</formula>
    </cfRule>
  </conditionalFormatting>
  <conditionalFormatting sqref="G39">
    <cfRule type="expression" priority="94" dxfId="1">
      <formula>IF($L39="I",TRUE,FALSE)</formula>
    </cfRule>
    <cfRule type="expression" priority="95" dxfId="0">
      <formula>IF($L39="T",TRUE,FALSE)</formula>
    </cfRule>
  </conditionalFormatting>
  <conditionalFormatting sqref="E40">
    <cfRule type="expression" priority="92" dxfId="1">
      <formula>IF($L40="I",TRUE,FALSE)</formula>
    </cfRule>
    <cfRule type="expression" priority="93" dxfId="0">
      <formula>IF($L40="T",TRUE,FALSE)</formula>
    </cfRule>
  </conditionalFormatting>
  <conditionalFormatting sqref="G40">
    <cfRule type="expression" priority="90" dxfId="1">
      <formula>IF($L40="I",TRUE,FALSE)</formula>
    </cfRule>
    <cfRule type="expression" priority="91" dxfId="0">
      <formula>IF($L40="T",TRUE,FALSE)</formula>
    </cfRule>
  </conditionalFormatting>
  <conditionalFormatting sqref="E42">
    <cfRule type="expression" priority="82" dxfId="1">
      <formula>IF($L42="I",TRUE,FALSE)</formula>
    </cfRule>
    <cfRule type="expression" priority="83" dxfId="0">
      <formula>IF($L42="T",TRUE,FALSE)</formula>
    </cfRule>
  </conditionalFormatting>
  <conditionalFormatting sqref="G42">
    <cfRule type="expression" priority="80" dxfId="1">
      <formula>IF($L42="I",TRUE,FALSE)</formula>
    </cfRule>
    <cfRule type="expression" priority="81" dxfId="0">
      <formula>IF($L42="T",TRUE,FALSE)</formula>
    </cfRule>
  </conditionalFormatting>
  <conditionalFormatting sqref="C53 E53">
    <cfRule type="expression" priority="74" dxfId="1">
      <formula>IF($L53="I",TRUE,FALSE)</formula>
    </cfRule>
    <cfRule type="expression" priority="75" dxfId="0">
      <formula>IF($L53="T",TRUE,FALSE)</formula>
    </cfRule>
  </conditionalFormatting>
  <conditionalFormatting sqref="C53">
    <cfRule type="expression" priority="73" dxfId="67">
      <formula>IF($L53="I",TRUE,FALSE)</formula>
    </cfRule>
  </conditionalFormatting>
  <conditionalFormatting sqref="A44">
    <cfRule type="expression" priority="43" dxfId="1">
      <formula>IF($L44="I",TRUE,FALSE)</formula>
    </cfRule>
    <cfRule type="expression" priority="44" dxfId="0">
      <formula>IF($L44="T",TRUE,FALSE)</formula>
    </cfRule>
  </conditionalFormatting>
  <conditionalFormatting sqref="I44 E44:G44">
    <cfRule type="expression" priority="55" dxfId="1">
      <formula>IF($L44="I",TRUE,FALSE)</formula>
    </cfRule>
    <cfRule type="expression" priority="56" dxfId="0">
      <formula>IF($L44="T",TRUE,FALSE)</formula>
    </cfRule>
  </conditionalFormatting>
  <conditionalFormatting sqref="A16 I16 E16:G16">
    <cfRule type="expression" priority="24" dxfId="1">
      <formula>IF($L16="I",TRUE,FALSE)</formula>
    </cfRule>
    <cfRule type="expression" priority="25" dxfId="0">
      <formula>IF($L16="T",TRUE,FALSE)</formula>
    </cfRule>
  </conditionalFormatting>
  <conditionalFormatting sqref="C18:C19">
    <cfRule type="expression" priority="22" dxfId="1">
      <formula>IF($L18="I",TRUE,FALSE)</formula>
    </cfRule>
    <cfRule type="expression" priority="23" dxfId="0">
      <formula>IF($L18="T",TRUE,FALSE)</formula>
    </cfRule>
  </conditionalFormatting>
  <conditionalFormatting sqref="C17">
    <cfRule type="expression" priority="19" dxfId="1">
      <formula>IF($L17="I",TRUE,FALSE)</formula>
    </cfRule>
    <cfRule type="expression" priority="20" dxfId="0">
      <formula>IF($L17="T",TRUE,FALSE)</formula>
    </cfRule>
  </conditionalFormatting>
  <conditionalFormatting sqref="C17">
    <cfRule type="expression" priority="18" dxfId="67">
      <formula>IF($L17="I",TRUE,FALSE)</formula>
    </cfRule>
  </conditionalFormatting>
  <conditionalFormatting sqref="C21">
    <cfRule type="expression" priority="16" dxfId="1">
      <formula>IF($L21="I",TRUE,FALSE)</formula>
    </cfRule>
    <cfRule type="expression" priority="17" dxfId="0">
      <formula>IF($L21="T",TRUE,FALSE)</formula>
    </cfRule>
  </conditionalFormatting>
  <conditionalFormatting sqref="C21">
    <cfRule type="expression" priority="15" dxfId="67">
      <formula>IF($L21="I",TRUE,FALSE)</formula>
    </cfRule>
  </conditionalFormatting>
  <conditionalFormatting sqref="F43 A43 I43">
    <cfRule type="expression" priority="13" dxfId="1">
      <formula>IF($L43="I",TRUE,FALSE)</formula>
    </cfRule>
    <cfRule type="expression" priority="14" dxfId="0">
      <formula>IF($L43="T",TRUE,FALSE)</formula>
    </cfRule>
  </conditionalFormatting>
  <conditionalFormatting sqref="E43">
    <cfRule type="expression" priority="11" dxfId="1">
      <formula>IF($L43="I",TRUE,FALSE)</formula>
    </cfRule>
    <cfRule type="expression" priority="12" dxfId="0">
      <formula>IF($L43="T",TRUE,FALSE)</formula>
    </cfRule>
  </conditionalFormatting>
  <conditionalFormatting sqref="G43">
    <cfRule type="expression" priority="9" dxfId="1">
      <formula>IF($L43="I",TRUE,FALSE)</formula>
    </cfRule>
    <cfRule type="expression" priority="10" dxfId="0">
      <formula>IF($L43="T",TRUE,FALSE)</formula>
    </cfRule>
  </conditionalFormatting>
  <conditionalFormatting sqref="A63 I63 E63:G63">
    <cfRule type="expression" priority="7" dxfId="1">
      <formula>IF($L63="I",TRUE,FALSE)</formula>
    </cfRule>
    <cfRule type="expression" priority="8" dxfId="0">
      <formula>IF($L63="T",TRUE,FALSE)</formula>
    </cfRule>
  </conditionalFormatting>
  <conditionalFormatting sqref="F66">
    <cfRule type="expression" priority="5" dxfId="1">
      <formula>IF($L66="I",TRUE,FALSE)</formula>
    </cfRule>
    <cfRule type="expression" priority="6" dxfId="0">
      <formula>IF($L66="T",TRUE,FALSE)</formula>
    </cfRule>
  </conditionalFormatting>
  <conditionalFormatting sqref="E66">
    <cfRule type="expression" priority="3" dxfId="1">
      <formula>IF($L66="I",TRUE,FALSE)</formula>
    </cfRule>
    <cfRule type="expression" priority="4" dxfId="0">
      <formula>IF($L66="T",TRUE,FALSE)</formula>
    </cfRule>
  </conditionalFormatting>
  <conditionalFormatting sqref="G66">
    <cfRule type="expression" priority="1" dxfId="1">
      <formula>IF($L66="I",TRUE,FALSE)</formula>
    </cfRule>
    <cfRule type="expression" priority="2" dxfId="0">
      <formula>IF($L66="T",TRUE,FALSE)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4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="110" zoomScaleNormal="110" workbookViewId="0" topLeftCell="A46">
      <selection activeCell="E31" sqref="E31"/>
    </sheetView>
  </sheetViews>
  <sheetFormatPr defaultColWidth="9.140625" defaultRowHeight="15"/>
  <cols>
    <col min="2" max="2" width="57.00390625" style="0" customWidth="1"/>
    <col min="3" max="3" width="9.140625" style="61" customWidth="1"/>
    <col min="4" max="4" width="10.140625" style="115" customWidth="1"/>
    <col min="5" max="5" width="56.00390625" style="6" customWidth="1"/>
  </cols>
  <sheetData>
    <row r="1" spans="1:4" ht="15">
      <c r="A1" t="s">
        <v>2</v>
      </c>
      <c r="B1" t="s">
        <v>4</v>
      </c>
      <c r="C1" s="61" t="s">
        <v>12</v>
      </c>
      <c r="D1" s="115" t="s">
        <v>13</v>
      </c>
    </row>
    <row r="2" spans="1:5" ht="0.75" customHeight="1">
      <c r="A2" s="3"/>
      <c r="B2" s="62"/>
      <c r="C2" s="5"/>
      <c r="D2" s="49"/>
      <c r="E2" s="2"/>
    </row>
    <row r="3" spans="1:5" ht="15">
      <c r="A3" s="68" t="s">
        <v>107</v>
      </c>
      <c r="B3" s="37" t="s">
        <v>123</v>
      </c>
      <c r="C3" s="64"/>
      <c r="D3" s="116"/>
      <c r="E3" s="38"/>
    </row>
    <row r="4" spans="1:5" ht="45">
      <c r="A4" s="8" t="s">
        <v>108</v>
      </c>
      <c r="B4" s="4" t="s">
        <v>127</v>
      </c>
      <c r="C4" s="20" t="s">
        <v>23</v>
      </c>
      <c r="D4" s="40">
        <v>65</v>
      </c>
      <c r="E4" s="88" t="s">
        <v>129</v>
      </c>
    </row>
    <row r="5" spans="1:5" ht="30">
      <c r="A5" s="8" t="s">
        <v>109</v>
      </c>
      <c r="B5" s="18" t="s">
        <v>124</v>
      </c>
      <c r="C5" s="20" t="s">
        <v>24</v>
      </c>
      <c r="D5" s="40">
        <f>35*0.5</f>
        <v>17.5</v>
      </c>
      <c r="E5" s="88" t="s">
        <v>126</v>
      </c>
    </row>
    <row r="6" spans="1:5" ht="30">
      <c r="A6" s="3" t="s">
        <v>110</v>
      </c>
      <c r="B6" s="4" t="s">
        <v>130</v>
      </c>
      <c r="C6" s="120" t="s">
        <v>132</v>
      </c>
      <c r="D6" s="49">
        <v>4</v>
      </c>
      <c r="E6" s="2" t="s">
        <v>133</v>
      </c>
    </row>
    <row r="7" spans="1:5" ht="15">
      <c r="A7" s="68" t="s">
        <v>96</v>
      </c>
      <c r="B7" s="37" t="s">
        <v>57</v>
      </c>
      <c r="C7" s="64"/>
      <c r="D7" s="116"/>
      <c r="E7" s="38"/>
    </row>
    <row r="8" spans="1:5" ht="15">
      <c r="A8" s="8" t="s">
        <v>16</v>
      </c>
      <c r="B8" s="39" t="str">
        <f>Planilha1!D21</f>
        <v>Locação de obra de edificação</v>
      </c>
      <c r="C8" s="36" t="s">
        <v>23</v>
      </c>
      <c r="D8" s="49">
        <v>36.23</v>
      </c>
      <c r="E8" s="4" t="s">
        <v>136</v>
      </c>
    </row>
    <row r="9" spans="1:5" ht="30">
      <c r="A9" s="8" t="s">
        <v>17</v>
      </c>
      <c r="B9" s="4" t="s">
        <v>58</v>
      </c>
      <c r="C9" s="36" t="s">
        <v>24</v>
      </c>
      <c r="D9" s="117">
        <f>29.5*0.2*0.3</f>
        <v>1.77</v>
      </c>
      <c r="E9" s="52" t="s">
        <v>137</v>
      </c>
    </row>
    <row r="10" spans="1:5" ht="15">
      <c r="A10" s="8" t="s">
        <v>18</v>
      </c>
      <c r="B10" s="39" t="s">
        <v>59</v>
      </c>
      <c r="C10" s="36" t="s">
        <v>24</v>
      </c>
      <c r="D10" s="49">
        <f>29.5*0.05</f>
        <v>1.475</v>
      </c>
      <c r="E10" s="4" t="s">
        <v>138</v>
      </c>
    </row>
    <row r="11" spans="1:5" ht="46.5" customHeight="1">
      <c r="A11" s="8" t="s">
        <v>19</v>
      </c>
      <c r="B11" s="39" t="s">
        <v>60</v>
      </c>
      <c r="C11" s="36" t="s">
        <v>24</v>
      </c>
      <c r="D11" s="117">
        <f>29.5*0.2*0.3</f>
        <v>1.77</v>
      </c>
      <c r="E11" s="52" t="s">
        <v>137</v>
      </c>
    </row>
    <row r="12" spans="1:5" ht="41.25" customHeight="1">
      <c r="A12" s="8" t="s">
        <v>20</v>
      </c>
      <c r="B12" s="4" t="s">
        <v>61</v>
      </c>
      <c r="C12" s="36" t="s">
        <v>24</v>
      </c>
      <c r="D12" s="117">
        <f>29.5*0.2*0.3</f>
        <v>1.77</v>
      </c>
      <c r="E12" s="52" t="s">
        <v>137</v>
      </c>
    </row>
    <row r="13" spans="1:5" ht="15">
      <c r="A13" s="8" t="s">
        <v>21</v>
      </c>
      <c r="B13" s="39" t="s">
        <v>62</v>
      </c>
      <c r="C13" s="36" t="s">
        <v>23</v>
      </c>
      <c r="D13" s="49">
        <f>0.6*29.5</f>
        <v>17.7</v>
      </c>
      <c r="E13" s="4" t="s">
        <v>139</v>
      </c>
    </row>
    <row r="14" spans="1:5" ht="15">
      <c r="A14" s="8" t="s">
        <v>22</v>
      </c>
      <c r="B14" s="39" t="s">
        <v>63</v>
      </c>
      <c r="C14" s="36" t="s">
        <v>15</v>
      </c>
      <c r="D14" s="49">
        <f>D11*80</f>
        <v>141.6</v>
      </c>
      <c r="E14" s="4" t="s">
        <v>106</v>
      </c>
    </row>
    <row r="15" spans="1:5" ht="15">
      <c r="A15" s="8" t="s">
        <v>98</v>
      </c>
      <c r="B15" t="s">
        <v>141</v>
      </c>
      <c r="C15" s="43" t="s">
        <v>11</v>
      </c>
      <c r="D15" s="118">
        <f>(11*4)+(5*1.5)</f>
        <v>51.5</v>
      </c>
      <c r="E15" s="44" t="s">
        <v>140</v>
      </c>
    </row>
    <row r="16" spans="1:5" ht="15">
      <c r="A16" s="68" t="s">
        <v>25</v>
      </c>
      <c r="B16" s="15" t="s">
        <v>72</v>
      </c>
      <c r="C16" s="16"/>
      <c r="D16" s="119"/>
      <c r="E16" s="78"/>
    </row>
    <row r="17" spans="1:5" ht="30">
      <c r="A17" s="41" t="s">
        <v>26</v>
      </c>
      <c r="B17" s="45" t="s">
        <v>60</v>
      </c>
      <c r="C17" s="46" t="s">
        <v>24</v>
      </c>
      <c r="D17" s="114">
        <f>(19.2*0.3*0.15)+(11*0.3*0.15*2.4)</f>
        <v>2.0519999999999996</v>
      </c>
      <c r="E17" s="79" t="s">
        <v>149</v>
      </c>
    </row>
    <row r="18" spans="1:5" ht="28.5" customHeight="1">
      <c r="A18" s="41" t="s">
        <v>28</v>
      </c>
      <c r="B18" s="8" t="s">
        <v>61</v>
      </c>
      <c r="C18" s="36" t="s">
        <v>24</v>
      </c>
      <c r="D18" s="114">
        <f>(19.2*0.3*0.15)+(11*0.3*0.15*2.4)</f>
        <v>2.0519999999999996</v>
      </c>
      <c r="E18" s="79" t="s">
        <v>149</v>
      </c>
    </row>
    <row r="19" spans="1:5" ht="15">
      <c r="A19" s="41" t="s">
        <v>100</v>
      </c>
      <c r="B19" s="39" t="s">
        <v>63</v>
      </c>
      <c r="C19" s="36" t="s">
        <v>15</v>
      </c>
      <c r="D19" s="49">
        <f>D17*80</f>
        <v>164.15999999999997</v>
      </c>
      <c r="E19" s="4" t="s">
        <v>106</v>
      </c>
    </row>
    <row r="20" spans="1:5" ht="15">
      <c r="A20" s="41" t="s">
        <v>143</v>
      </c>
      <c r="B20" s="39" t="s">
        <v>70</v>
      </c>
      <c r="C20" s="36" t="s">
        <v>23</v>
      </c>
      <c r="D20" s="40">
        <f>(19.2*0.6)+(0.6*11*2.4)</f>
        <v>27.36</v>
      </c>
      <c r="E20" s="4" t="s">
        <v>150</v>
      </c>
    </row>
    <row r="21" spans="1:5" ht="30">
      <c r="A21" s="41" t="s">
        <v>144</v>
      </c>
      <c r="B21" s="42" t="s">
        <v>71</v>
      </c>
      <c r="C21" s="43" t="s">
        <v>24</v>
      </c>
      <c r="D21" s="60">
        <f>(16.3*0.15*0.15)+(11*0.15*0.15*1.8)</f>
        <v>0.8122499999999999</v>
      </c>
      <c r="E21" s="44" t="s">
        <v>151</v>
      </c>
    </row>
    <row r="22" spans="1:5" ht="30">
      <c r="A22" s="41" t="s">
        <v>148</v>
      </c>
      <c r="B22" s="9" t="str">
        <f>Planilha1!D35</f>
        <v>Laje pré‐fabricada mista vigota treliçada/lajota cerâmica ‐ LT 12 (8+4) e capa com concreto de 25 MPa</v>
      </c>
      <c r="C22" s="36" t="s">
        <v>23</v>
      </c>
      <c r="D22" s="40">
        <f>(3.74*3)+(0.85*3)</f>
        <v>13.77</v>
      </c>
      <c r="E22" s="4" t="s">
        <v>147</v>
      </c>
    </row>
    <row r="23" spans="1:5" ht="15">
      <c r="A23" s="68" t="s">
        <v>29</v>
      </c>
      <c r="B23" s="15" t="s">
        <v>75</v>
      </c>
      <c r="C23" s="63"/>
      <c r="D23" s="119"/>
      <c r="E23" s="78"/>
    </row>
    <row r="24" spans="1:5" ht="30">
      <c r="A24" s="41" t="s">
        <v>30</v>
      </c>
      <c r="B24" s="6" t="s">
        <v>159</v>
      </c>
      <c r="C24" s="48" t="s">
        <v>14</v>
      </c>
      <c r="D24" s="65">
        <v>43.05</v>
      </c>
      <c r="E24" s="47" t="s">
        <v>154</v>
      </c>
    </row>
    <row r="25" spans="1:5" ht="15">
      <c r="A25" s="68" t="s">
        <v>31</v>
      </c>
      <c r="B25" s="15" t="s">
        <v>32</v>
      </c>
      <c r="C25" s="63"/>
      <c r="D25" s="119"/>
      <c r="E25" s="78"/>
    </row>
    <row r="26" spans="1:5" ht="30">
      <c r="A26" s="8" t="s">
        <v>33</v>
      </c>
      <c r="B26" s="8" t="s">
        <v>152</v>
      </c>
      <c r="C26" s="10" t="s">
        <v>23</v>
      </c>
      <c r="D26" s="114">
        <f>(0.8*2.1*2)+(0.7*0.5*3)</f>
        <v>4.41</v>
      </c>
      <c r="E26" s="79" t="s">
        <v>158</v>
      </c>
    </row>
    <row r="27" spans="1:5" ht="45">
      <c r="A27" s="42" t="s">
        <v>34</v>
      </c>
      <c r="B27" s="6" t="str">
        <f>Planilha1!D40</f>
        <v>TP-03 TELA DE PROTEÇÃO ARAME GALVANIZADO ONDULADO - REQUADRO DE FERRO</v>
      </c>
      <c r="C27" s="19" t="s">
        <v>14</v>
      </c>
      <c r="D27" s="118">
        <f>29.32+5.22+14.36+1.05+0.37</f>
        <v>50.31999999999999</v>
      </c>
      <c r="E27" s="44" t="s">
        <v>157</v>
      </c>
    </row>
    <row r="28" spans="1:5" ht="15">
      <c r="A28" s="68" t="s">
        <v>35</v>
      </c>
      <c r="B28" s="15" t="s">
        <v>76</v>
      </c>
      <c r="C28" s="63"/>
      <c r="D28" s="119"/>
      <c r="E28" s="78"/>
    </row>
    <row r="29" spans="1:5" ht="59.25" customHeight="1">
      <c r="A29" s="7" t="s">
        <v>36</v>
      </c>
      <c r="B29" s="9" t="str">
        <f>Planilha1!D42</f>
        <v>EXECUÇÃO DE PASSEIO (CALÇADA) OU PISO DE CONCRETO COM CONCRETO MOLDADO IN LOCO, USINADO, ACABAMENTO CONVENCIONAL, ESPESSURA 8 CM, ARMADO. AF _08/2022</v>
      </c>
      <c r="C29" s="5" t="s">
        <v>23</v>
      </c>
      <c r="D29" s="49">
        <f>18.37+6.47+28.7</f>
        <v>53.54</v>
      </c>
      <c r="E29" s="4" t="s">
        <v>164</v>
      </c>
    </row>
    <row r="30" spans="1:5" ht="59.25" customHeight="1">
      <c r="A30" s="7" t="s">
        <v>37</v>
      </c>
      <c r="B30" s="9" t="str">
        <f>Planilha1!D43</f>
        <v>Plantio de grama esmeralda em placas (jardins e canteiros)</v>
      </c>
      <c r="C30" s="20" t="s">
        <v>23</v>
      </c>
      <c r="D30" s="40">
        <f>1.85+5.25</f>
        <v>7.1</v>
      </c>
      <c r="E30" s="9" t="s">
        <v>195</v>
      </c>
    </row>
    <row r="31" spans="1:11" ht="15">
      <c r="A31" s="68" t="s">
        <v>38</v>
      </c>
      <c r="B31" s="70" t="s">
        <v>169</v>
      </c>
      <c r="C31" s="71"/>
      <c r="D31" s="119"/>
      <c r="E31" s="78"/>
      <c r="F31" s="144"/>
      <c r="G31" s="145"/>
      <c r="H31" s="145"/>
      <c r="I31" s="145"/>
      <c r="J31" s="145"/>
      <c r="K31" s="121"/>
    </row>
    <row r="32" spans="1:11" ht="30">
      <c r="A32" s="7" t="s">
        <v>39</v>
      </c>
      <c r="B32" s="4" t="str">
        <f>Planilha1!D45</f>
        <v>Tubo de PVC rígido soldável marrom, DN= 25 mm, (3/4´), inclusive conexões</v>
      </c>
      <c r="C32" s="10"/>
      <c r="D32" s="49"/>
      <c r="E32" s="86"/>
      <c r="F32" s="144"/>
      <c r="G32" s="145"/>
      <c r="H32" s="145"/>
      <c r="I32" s="145"/>
      <c r="J32" s="145"/>
      <c r="K32" s="121"/>
    </row>
    <row r="33" spans="1:11" ht="30">
      <c r="A33" s="7" t="s">
        <v>97</v>
      </c>
      <c r="B33" s="4" t="str">
        <f>Planilha1!D46</f>
        <v>Torneira curta com rosca para uso geral, em latão fundido sem acabamento, DN= 1/2´</v>
      </c>
      <c r="C33" s="10"/>
      <c r="D33" s="49"/>
      <c r="E33" s="86"/>
      <c r="F33" s="144"/>
      <c r="G33" s="145"/>
      <c r="H33" s="145"/>
      <c r="I33" s="145"/>
      <c r="J33" s="145"/>
      <c r="K33" s="121"/>
    </row>
    <row r="34" spans="1:11" ht="15">
      <c r="A34" s="68" t="s">
        <v>40</v>
      </c>
      <c r="B34" s="15" t="s">
        <v>41</v>
      </c>
      <c r="C34" s="63"/>
      <c r="D34" s="119"/>
      <c r="E34" s="78"/>
      <c r="F34" s="121"/>
      <c r="G34" s="121"/>
      <c r="H34" s="121"/>
      <c r="I34" s="121"/>
      <c r="J34" s="121"/>
      <c r="K34" s="121"/>
    </row>
    <row r="35" spans="1:11" ht="30">
      <c r="A35" s="7" t="s">
        <v>43</v>
      </c>
      <c r="B35" s="9" t="s">
        <v>86</v>
      </c>
      <c r="C35" s="10" t="s">
        <v>11</v>
      </c>
      <c r="D35" s="49">
        <v>45</v>
      </c>
      <c r="E35" s="9"/>
      <c r="F35" s="144"/>
      <c r="G35" s="145"/>
      <c r="H35" s="145"/>
      <c r="I35" s="145"/>
      <c r="J35" s="145"/>
      <c r="K35" s="145"/>
    </row>
    <row r="36" spans="1:11" ht="30">
      <c r="A36" s="7" t="s">
        <v>44</v>
      </c>
      <c r="B36" s="9" t="s">
        <v>88</v>
      </c>
      <c r="C36" s="10" t="s">
        <v>11</v>
      </c>
      <c r="D36" s="49">
        <v>15</v>
      </c>
      <c r="E36" s="9"/>
      <c r="F36" s="144"/>
      <c r="G36" s="145"/>
      <c r="H36" s="145"/>
      <c r="I36" s="145"/>
      <c r="J36" s="145"/>
      <c r="K36" s="145"/>
    </row>
    <row r="37" spans="1:5" ht="15">
      <c r="A37" s="7" t="s">
        <v>45</v>
      </c>
      <c r="B37" s="8" t="s">
        <v>42</v>
      </c>
      <c r="C37" s="10" t="s">
        <v>47</v>
      </c>
      <c r="D37" s="49">
        <v>2</v>
      </c>
      <c r="E37" s="4"/>
    </row>
    <row r="38" spans="1:5" ht="30">
      <c r="A38" s="7" t="s">
        <v>46</v>
      </c>
      <c r="B38" s="9" t="s">
        <v>91</v>
      </c>
      <c r="C38" s="10" t="s">
        <v>11</v>
      </c>
      <c r="D38" s="49">
        <v>25</v>
      </c>
      <c r="E38" s="4"/>
    </row>
    <row r="39" spans="1:5" ht="39" customHeight="1">
      <c r="A39" s="7" t="s">
        <v>101</v>
      </c>
      <c r="B39" s="4" t="s">
        <v>170</v>
      </c>
      <c r="C39" s="10" t="s">
        <v>5</v>
      </c>
      <c r="D39" s="49">
        <v>3</v>
      </c>
      <c r="E39" s="4"/>
    </row>
    <row r="40" spans="1:5" ht="63" customHeight="1">
      <c r="A40" s="7" t="s">
        <v>114</v>
      </c>
      <c r="B40" s="4" t="s">
        <v>111</v>
      </c>
      <c r="C40" s="10" t="s">
        <v>5</v>
      </c>
      <c r="D40" s="118">
        <v>6</v>
      </c>
      <c r="E40" s="44"/>
    </row>
    <row r="41" spans="1:5" ht="39" customHeight="1">
      <c r="A41" s="7" t="s">
        <v>174</v>
      </c>
      <c r="B41" s="9" t="s">
        <v>102</v>
      </c>
      <c r="C41" s="10" t="s">
        <v>5</v>
      </c>
      <c r="D41" s="49">
        <v>1</v>
      </c>
      <c r="E41" s="4"/>
    </row>
    <row r="42" spans="1:5" ht="39" customHeight="1">
      <c r="A42" s="7" t="s">
        <v>175</v>
      </c>
      <c r="B42" s="9" t="s">
        <v>103</v>
      </c>
      <c r="C42" s="10" t="s">
        <v>5</v>
      </c>
      <c r="D42" s="49">
        <v>2</v>
      </c>
      <c r="E42" s="4"/>
    </row>
    <row r="43" spans="1:5" ht="15">
      <c r="A43" s="68" t="s">
        <v>48</v>
      </c>
      <c r="B43" s="15" t="s">
        <v>49</v>
      </c>
      <c r="C43" s="63"/>
      <c r="D43" s="119"/>
      <c r="E43" s="78"/>
    </row>
    <row r="44" spans="1:5" ht="60">
      <c r="A44" s="8" t="s">
        <v>50</v>
      </c>
      <c r="B44" s="4" t="str">
        <f>Planilha1!D57</f>
        <v>TRAMA DE MADEIRA COMPOSTA POR TERÇAS PARA TELHADOS DE ATÉ 2 ÁGUAS PARA TELHA ONDULADA DE FIBROCIMENTO, METÁLICA, PLÁSTICA OU TERMOACÚSTICA,
 INCLUSO TRANSPORTE VERTICAL. AF_07/2019</v>
      </c>
      <c r="C44" s="50" t="s">
        <v>23</v>
      </c>
      <c r="D44" s="49">
        <f>2.7*8.15</f>
        <v>22.005000000000003</v>
      </c>
      <c r="E44" s="4" t="s">
        <v>178</v>
      </c>
    </row>
    <row r="45" spans="1:5" ht="60">
      <c r="A45" s="8" t="s">
        <v>51</v>
      </c>
      <c r="B45" s="6" t="str">
        <f>Planilha1!D58</f>
        <v>TELHAMENTO COM TELHA ONDULADA DE FIBROCIMENTO E = 6 MM, COM RECOBRIMENTO LATERAL DE 1/4 DE ONDA PARA TELHADO COM INCLINAÇÃO MAIOR QUE 10°, COM ATÉ 2 ÁGUAS, INCLUSO IÇAMENTO. AF_07/2019</v>
      </c>
      <c r="C45" s="50" t="s">
        <v>23</v>
      </c>
      <c r="D45" s="49">
        <f>2.7*8.15</f>
        <v>22.005000000000003</v>
      </c>
      <c r="E45" s="4" t="s">
        <v>178</v>
      </c>
    </row>
    <row r="46" spans="1:5" ht="15">
      <c r="A46" s="8" t="s">
        <v>52</v>
      </c>
      <c r="B46" s="4" t="str">
        <f>Planilha1!D59</f>
        <v>Testeira em tábua aparelhada, largura até 20cm</v>
      </c>
      <c r="C46" s="50" t="s">
        <v>11</v>
      </c>
      <c r="D46" s="49">
        <v>21.6</v>
      </c>
      <c r="E46" s="4"/>
    </row>
    <row r="47" spans="1:5" ht="15">
      <c r="A47" s="68" t="s">
        <v>54</v>
      </c>
      <c r="B47" s="15" t="s">
        <v>77</v>
      </c>
      <c r="C47" s="63"/>
      <c r="D47" s="119"/>
      <c r="E47" s="78"/>
    </row>
    <row r="48" spans="1:5" ht="15">
      <c r="A48" s="3" t="s">
        <v>55</v>
      </c>
      <c r="B48" s="39" t="s">
        <v>78</v>
      </c>
      <c r="C48" s="5" t="s">
        <v>23</v>
      </c>
      <c r="D48" s="49">
        <f>D24*2</f>
        <v>86.1</v>
      </c>
      <c r="E48" s="4" t="s">
        <v>179</v>
      </c>
    </row>
    <row r="49" spans="1:5" ht="15">
      <c r="A49" s="3" t="s">
        <v>56</v>
      </c>
      <c r="B49" s="3" t="s">
        <v>115</v>
      </c>
      <c r="C49" s="5" t="s">
        <v>23</v>
      </c>
      <c r="D49" s="49">
        <f>D26*2</f>
        <v>8.82</v>
      </c>
      <c r="E49" s="4" t="s">
        <v>180</v>
      </c>
    </row>
    <row r="50" spans="1:5" ht="15">
      <c r="A50" s="126" t="s">
        <v>79</v>
      </c>
      <c r="B50" s="66" t="s">
        <v>189</v>
      </c>
      <c r="C50" s="67"/>
      <c r="D50" s="124"/>
      <c r="E50" s="125"/>
    </row>
    <row r="51" spans="1:5" ht="45">
      <c r="A51" s="127" t="s">
        <v>81</v>
      </c>
      <c r="B51" s="128" t="s">
        <v>190</v>
      </c>
      <c r="C51" s="129" t="s">
        <v>24</v>
      </c>
      <c r="D51" s="49">
        <f>(2.75*1.7*0.07)+(1.2*1.5*0.07)</f>
        <v>0.45325000000000004</v>
      </c>
      <c r="E51" s="128" t="s">
        <v>193</v>
      </c>
    </row>
    <row r="52" spans="1:5" ht="15">
      <c r="A52" s="127" t="s">
        <v>82</v>
      </c>
      <c r="B52" s="127" t="s">
        <v>191</v>
      </c>
      <c r="C52" s="129" t="s">
        <v>11</v>
      </c>
      <c r="D52" s="49">
        <f>2.75*2</f>
        <v>5.5</v>
      </c>
      <c r="E52" s="128"/>
    </row>
    <row r="53" spans="1:5" ht="15">
      <c r="A53" s="127" t="s">
        <v>83</v>
      </c>
      <c r="B53" s="127" t="s">
        <v>165</v>
      </c>
      <c r="C53" s="7" t="s">
        <v>23</v>
      </c>
      <c r="D53" s="49">
        <v>80</v>
      </c>
      <c r="E53" s="128" t="s">
        <v>194</v>
      </c>
    </row>
  </sheetData>
  <mergeCells count="2">
    <mergeCell ref="F31:J33"/>
    <mergeCell ref="F35:K36"/>
  </mergeCells>
  <conditionalFormatting sqref="B9 A29 A32:A33 C32:C33 C35:C38 A35:A42">
    <cfRule type="expression" priority="282" dxfId="1">
      <formula>IF($L9="I",TRUE,FALSE)</formula>
    </cfRule>
    <cfRule type="expression" priority="282" dxfId="0">
      <formula>IF($L9="T",TRUE,FALSE)</formula>
    </cfRule>
  </conditionalFormatting>
  <conditionalFormatting sqref="E2 E5:E7">
    <cfRule type="expression" priority="255" dxfId="8">
      <formula>IF($G2="I",TRUE,FALSE)</formula>
    </cfRule>
    <cfRule type="expression" priority="256" dxfId="7">
      <formula>IF($G2="T",TRUE,FALSE)</formula>
    </cfRule>
  </conditionalFormatting>
  <conditionalFormatting sqref="B10:B12">
    <cfRule type="expression" priority="245" dxfId="1">
      <formula>IF($L10="I",TRUE,FALSE)</formula>
    </cfRule>
    <cfRule type="expression" priority="246" dxfId="0">
      <formula>IF($L10="T",TRUE,FALSE)</formula>
    </cfRule>
  </conditionalFormatting>
  <conditionalFormatting sqref="B13:B14">
    <cfRule type="expression" priority="243" dxfId="1">
      <formula>IF($L13="I",TRUE,FALSE)</formula>
    </cfRule>
    <cfRule type="expression" priority="244" dxfId="0">
      <formula>IF($L13="T",TRUE,FALSE)</formula>
    </cfRule>
  </conditionalFormatting>
  <conditionalFormatting sqref="C16">
    <cfRule type="expression" priority="241" dxfId="1">
      <formula>IF($L16="I",TRUE,FALSE)</formula>
    </cfRule>
    <cfRule type="expression" priority="242" dxfId="0">
      <formula>IF($L16="T",TRUE,FALSE)</formula>
    </cfRule>
  </conditionalFormatting>
  <conditionalFormatting sqref="E9">
    <cfRule type="expression" priority="197" dxfId="8">
      <formula>IF($G9="I",TRUE,FALSE)</formula>
    </cfRule>
    <cfRule type="expression" priority="198" dxfId="7">
      <formula>IF($G9="T",TRUE,FALSE)</formula>
    </cfRule>
  </conditionalFormatting>
  <conditionalFormatting sqref="A34">
    <cfRule type="expression" priority="127" dxfId="1">
      <formula>IF($L34="I",TRUE,FALSE)</formula>
    </cfRule>
    <cfRule type="expression" priority="128" dxfId="0">
      <formula>IF($L34="T",TRUE,FALSE)</formula>
    </cfRule>
  </conditionalFormatting>
  <conditionalFormatting sqref="A43">
    <cfRule type="expression" priority="123" dxfId="1">
      <formula>IF($L43="I",TRUE,FALSE)</formula>
    </cfRule>
    <cfRule type="expression" priority="124" dxfId="0">
      <formula>IF($L43="T",TRUE,FALSE)</formula>
    </cfRule>
  </conditionalFormatting>
  <conditionalFormatting sqref="A47">
    <cfRule type="expression" priority="121" dxfId="1">
      <formula>IF($L47="I",TRUE,FALSE)</formula>
    </cfRule>
    <cfRule type="expression" priority="122" dxfId="0">
      <formula>IF($L47="T",TRUE,FALSE)</formula>
    </cfRule>
  </conditionalFormatting>
  <conditionalFormatting sqref="A31">
    <cfRule type="expression" priority="133" dxfId="1">
      <formula>IF($L31="I",TRUE,FALSE)</formula>
    </cfRule>
    <cfRule type="expression" priority="134" dxfId="0">
      <formula>IF($L31="T",TRUE,FALSE)</formula>
    </cfRule>
  </conditionalFormatting>
  <conditionalFormatting sqref="C39:C42">
    <cfRule type="expression" priority="57" dxfId="1">
      <formula>IF($L39="I",TRUE,FALSE)</formula>
    </cfRule>
    <cfRule type="expression" priority="58" dxfId="0">
      <formula>IF($L39="T",TRUE,FALSE)</formula>
    </cfRule>
  </conditionalFormatting>
  <conditionalFormatting sqref="C31">
    <cfRule type="expression" priority="45" dxfId="1">
      <formula>IF($L31="I",TRUE,FALSE)</formula>
    </cfRule>
    <cfRule type="expression" priority="46" dxfId="0">
      <formula>IF($L31="T",TRUE,FALSE)</formula>
    </cfRule>
  </conditionalFormatting>
  <conditionalFormatting sqref="A7">
    <cfRule type="expression" priority="33" dxfId="1">
      <formula>IF($L7="I",TRUE,FALSE)</formula>
    </cfRule>
    <cfRule type="expression" priority="34" dxfId="0">
      <formula>IF($L7="T",TRUE,FALSE)</formula>
    </cfRule>
  </conditionalFormatting>
  <conditionalFormatting sqref="A16">
    <cfRule type="expression" priority="31" dxfId="1">
      <formula>IF($L16="I",TRUE,FALSE)</formula>
    </cfRule>
    <cfRule type="expression" priority="32" dxfId="0">
      <formula>IF($L16="T",TRUE,FALSE)</formula>
    </cfRule>
  </conditionalFormatting>
  <conditionalFormatting sqref="A23">
    <cfRule type="expression" priority="29" dxfId="1">
      <formula>IF($L23="I",TRUE,FALSE)</formula>
    </cfRule>
    <cfRule type="expression" priority="30" dxfId="0">
      <formula>IF($L23="T",TRUE,FALSE)</formula>
    </cfRule>
  </conditionalFormatting>
  <conditionalFormatting sqref="A25">
    <cfRule type="expression" priority="27" dxfId="1">
      <formula>IF($L25="I",TRUE,FALSE)</formula>
    </cfRule>
    <cfRule type="expression" priority="28" dxfId="0">
      <formula>IF($L25="T",TRUE,FALSE)</formula>
    </cfRule>
  </conditionalFormatting>
  <conditionalFormatting sqref="A28">
    <cfRule type="expression" priority="21" dxfId="1">
      <formula>IF($L28="I",TRUE,FALSE)</formula>
    </cfRule>
    <cfRule type="expression" priority="22" dxfId="0">
      <formula>IF($L28="T",TRUE,FALSE)</formula>
    </cfRule>
  </conditionalFormatting>
  <conditionalFormatting sqref="E3">
    <cfRule type="expression" priority="19" dxfId="8">
      <formula>IF($G3="I",TRUE,FALSE)</formula>
    </cfRule>
    <cfRule type="expression" priority="20" dxfId="7">
      <formula>IF($G3="T",TRUE,FALSE)</formula>
    </cfRule>
  </conditionalFormatting>
  <conditionalFormatting sqref="A3">
    <cfRule type="expression" priority="17" dxfId="1">
      <formula>IF($L3="I",TRUE,FALSE)</formula>
    </cfRule>
    <cfRule type="expression" priority="18" dxfId="0">
      <formula>IF($L3="T",TRUE,FALSE)</formula>
    </cfRule>
  </conditionalFormatting>
  <conditionalFormatting sqref="E4">
    <cfRule type="expression" priority="15" dxfId="8">
      <formula>IF($G4="I",TRUE,FALSE)</formula>
    </cfRule>
    <cfRule type="expression" priority="16" dxfId="7">
      <formula>IF($G4="T",TRUE,FALSE)</formula>
    </cfRule>
  </conditionalFormatting>
  <conditionalFormatting sqref="B8">
    <cfRule type="expression" priority="13" dxfId="1">
      <formula>IF($L8="I",TRUE,FALSE)</formula>
    </cfRule>
    <cfRule type="expression" priority="14" dxfId="0">
      <formula>IF($L8="T",TRUE,FALSE)</formula>
    </cfRule>
  </conditionalFormatting>
  <conditionalFormatting sqref="E11">
    <cfRule type="expression" priority="11" dxfId="8">
      <formula>IF($G11="I",TRUE,FALSE)</formula>
    </cfRule>
    <cfRule type="expression" priority="12" dxfId="7">
      <formula>IF($G11="T",TRUE,FALSE)</formula>
    </cfRule>
  </conditionalFormatting>
  <conditionalFormatting sqref="E12">
    <cfRule type="expression" priority="9" dxfId="8">
      <formula>IF($G12="I",TRUE,FALSE)</formula>
    </cfRule>
    <cfRule type="expression" priority="10" dxfId="7">
      <formula>IF($G12="T",TRUE,FALSE)</formula>
    </cfRule>
  </conditionalFormatting>
  <conditionalFormatting sqref="C26">
    <cfRule type="expression" priority="7" dxfId="1">
      <formula>IF($L26="I",TRUE,FALSE)</formula>
    </cfRule>
    <cfRule type="expression" priority="8" dxfId="0">
      <formula>IF($L26="T",TRUE,FALSE)</formula>
    </cfRule>
  </conditionalFormatting>
  <conditionalFormatting sqref="A30">
    <cfRule type="expression" priority="5" dxfId="1">
      <formula>IF($L30="I",TRUE,FALSE)</formula>
    </cfRule>
  </conditionalFormatting>
  <conditionalFormatting sqref="C50">
    <cfRule type="expression" priority="3" dxfId="1">
      <formula>IF($L50="I",TRUE,FALSE)</formula>
    </cfRule>
    <cfRule type="expression" priority="4" dxfId="0">
      <formula>IF($L50="T",TRUE,FALSE)</formula>
    </cfRule>
  </conditionalFormatting>
  <conditionalFormatting sqref="C53">
    <cfRule type="expression" priority="1" dxfId="1">
      <formula>IF($L53="I",TRUE,FALSE)</formula>
    </cfRule>
    <cfRule type="expression" priority="2" dxfId="0">
      <formula>IF($L53="T",TRUE,FALSE)</formula>
    </cfRule>
  </conditionalFormatting>
  <printOptions/>
  <pageMargins left="0" right="0" top="0.7874015748031497" bottom="0.7874015748031497" header="0.31496062992125984" footer="0.31496062992125984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2023-03-17T12:50:00Z</cp:lastPrinted>
  <dcterms:created xsi:type="dcterms:W3CDTF">2022-07-04T16:22:37Z</dcterms:created>
  <dcterms:modified xsi:type="dcterms:W3CDTF">2023-04-12T18:00:27Z</dcterms:modified>
  <cp:category/>
  <cp:version/>
  <cp:contentType/>
  <cp:contentStatus/>
</cp:coreProperties>
</file>