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0"/>
  </bookViews>
  <sheets>
    <sheet name="cronograma" sheetId="7" r:id="rId1"/>
    <sheet name="planilha" sheetId="5" r:id="rId2"/>
    <sheet name="MEMÓRIA" sheetId="3" r:id="rId3"/>
  </sheets>
  <externalReferences>
    <externalReference r:id="rId6"/>
  </externalReferences>
  <definedNames>
    <definedName name="_xlnm.Print_Area" localSheetId="0">'cronograma'!$A$1:$M$84</definedName>
    <definedName name="_xlnm.Print_Area" localSheetId="2">'MEMÓRIA'!$A$1:$E$47</definedName>
    <definedName name="_xlnm.Print_Area" localSheetId="1">'planilha'!$A$1:$I$84</definedName>
    <definedName name="brasao">INDEX('[1]INFO'!$B$47:$D$76,'[1]INFO'!$F$47,3)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<sst xmlns="http://schemas.openxmlformats.org/spreadsheetml/2006/main" count="899" uniqueCount="284">
  <si>
    <t>DATA BASE:</t>
  </si>
  <si>
    <t>BDI 1:</t>
  </si>
  <si>
    <t>ITEM</t>
  </si>
  <si>
    <t>CÓDIGO</t>
  </si>
  <si>
    <t>BANCO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</si>
  <si>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</si>
  <si>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</si>
  <si>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</si>
  <si>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</si>
  <si>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</si>
  <si>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</si>
  <si>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</si>
  <si>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m²</t>
  </si>
  <si>
    <t>m³</t>
  </si>
  <si>
    <t>UNID.</t>
  </si>
  <si>
    <t>QUANT.</t>
  </si>
  <si>
    <t>Retirada de folha de esquadria em madeira</t>
  </si>
  <si>
    <t>04.08.020</t>
  </si>
  <si>
    <t>unid.</t>
  </si>
  <si>
    <t>2.1</t>
  </si>
  <si>
    <t>Retirada de aparelho sanitário incluindo acessórios</t>
  </si>
  <si>
    <t>04.11.020</t>
  </si>
  <si>
    <t>3.</t>
  </si>
  <si>
    <t>3.1</t>
  </si>
  <si>
    <t>PISOS</t>
  </si>
  <si>
    <t>Emboço comum</t>
  </si>
  <si>
    <t>17.02.120</t>
  </si>
  <si>
    <t>Chapisco</t>
  </si>
  <si>
    <t>Reboco</t>
  </si>
  <si>
    <t>17.02.020</t>
  </si>
  <si>
    <t>17.02.220</t>
  </si>
  <si>
    <t>4.</t>
  </si>
  <si>
    <t>4.1</t>
  </si>
  <si>
    <t>4.2</t>
  </si>
  <si>
    <t>5.</t>
  </si>
  <si>
    <t>5.1</t>
  </si>
  <si>
    <t>5.2</t>
  </si>
  <si>
    <t>6.</t>
  </si>
  <si>
    <t>6.1</t>
  </si>
  <si>
    <t>6.2</t>
  </si>
  <si>
    <t>REFERÊNCIA:</t>
  </si>
  <si>
    <t>PINTURA</t>
  </si>
  <si>
    <t>Esmalte à base de água em madeira, inclusive preparo</t>
  </si>
  <si>
    <t>33.12.011</t>
  </si>
  <si>
    <t>TOTAL GERAL COM BDI</t>
  </si>
  <si>
    <t>1.1</t>
  </si>
  <si>
    <t>1.</t>
  </si>
  <si>
    <t>ALVARO FLORIAM GEBRAIEL BELLAZ</t>
  </si>
  <si>
    <t>CREA: 507.011.280-5</t>
  </si>
  <si>
    <t>SECRETÁRIO DE OBRAS E PLANEJAMENTO</t>
  </si>
  <si>
    <t>2.</t>
  </si>
  <si>
    <t>1.2</t>
  </si>
  <si>
    <t>1.3</t>
  </si>
  <si>
    <t>1.4</t>
  </si>
  <si>
    <t>4.3</t>
  </si>
  <si>
    <t>FDE OUTUBRO/2022 NÃO DESONERADO</t>
  </si>
  <si>
    <t>CDHU VERSÃO 188 NÃO DESONERADO</t>
  </si>
  <si>
    <t>SERVIÇOS PRELIMINARES - DEMOLIÇÕES E RETIRADAS</t>
  </si>
  <si>
    <t>1.5</t>
  </si>
  <si>
    <t>Remoção de entulho separado de obra com caçamba metálica ‐ terra, alvenaria, concreto, argamassa, madeira, papel, plástico ou metal</t>
  </si>
  <si>
    <t>05.07.040</t>
  </si>
  <si>
    <t>1.6</t>
  </si>
  <si>
    <t>SERVIÇOS COMPLEMENTARES</t>
  </si>
  <si>
    <t>33.10.030</t>
  </si>
  <si>
    <t>REFORMA DO GINÁSIO MUNICIPAL GIUSEPPE DAL POZZO</t>
  </si>
  <si>
    <t xml:space="preserve">Local: Av. Brasil, s/n - Jd. Bonanza </t>
  </si>
  <si>
    <t>Demolição manual de revestimento cerâmico, incluindo a base</t>
  </si>
  <si>
    <t>03.04.020</t>
  </si>
  <si>
    <t>Retirada de vidro ou espelho com raspagem da massa ou retirada de baguete</t>
  </si>
  <si>
    <t>04.14.020</t>
  </si>
  <si>
    <t>Retirada de esquadria metálica em geral</t>
  </si>
  <si>
    <t>04.09.020</t>
  </si>
  <si>
    <t>REVESTIMENTO DE PAREDE</t>
  </si>
  <si>
    <t>Placa cerâmica esmaltada PEI‐5 para área interna, grupo de absorção BIIb, resistência química B, assentado com argamassa colante industrializada</t>
  </si>
  <si>
    <t>18.06.102</t>
  </si>
  <si>
    <t>INSTALAÇÕES HIDRÁULICAS</t>
  </si>
  <si>
    <t>Válvula de descarga antivandalismo, DN= 1 1/2´</t>
  </si>
  <si>
    <t>47.04.050</t>
  </si>
  <si>
    <t>Válvula de mictório antivandalismo, DN= 3/4´</t>
  </si>
  <si>
    <t>47.04.090</t>
  </si>
  <si>
    <t>Mictório de louça sifonado auto aspirante</t>
  </si>
  <si>
    <t>44.01.200</t>
  </si>
  <si>
    <t>Torneira de mesa automática, acionamento hidromecânico, em latão cromado, DN= 1/2´ou 3/4´</t>
  </si>
  <si>
    <t>44.03.645</t>
  </si>
  <si>
    <t>3.2</t>
  </si>
  <si>
    <t>3.3</t>
  </si>
  <si>
    <t>3.4</t>
  </si>
  <si>
    <t>Reparos em pisos de alta resistência fundidos no local ‐ estucamento e polimento</t>
  </si>
  <si>
    <t>17.40.020</t>
  </si>
  <si>
    <t>Resina epóxi para piso de granilite</t>
  </si>
  <si>
    <t>17.40.160</t>
  </si>
  <si>
    <t>Estucamento e lixamento de concreto</t>
  </si>
  <si>
    <t>33.01.050</t>
  </si>
  <si>
    <t>ESQUADRIAS E VIDROS</t>
  </si>
  <si>
    <t>Caixilho tipo veneziana industrial com montantes em aço galvanizado e aletas em fibra de vidro</t>
  </si>
  <si>
    <t>24.01.120</t>
  </si>
  <si>
    <t>Vidro liso transparente de 4 mm</t>
  </si>
  <si>
    <t>26.01.040</t>
  </si>
  <si>
    <t>Recolocação de folhas de porta ou janela</t>
  </si>
  <si>
    <t>23.20.040</t>
  </si>
  <si>
    <t>Folha de porta lisa folheada com madeira, sob medida</t>
  </si>
  <si>
    <t>23.20.170</t>
  </si>
  <si>
    <t>Divisória em placas de granito com espessura de 3 cm</t>
  </si>
  <si>
    <t>14.30.010</t>
  </si>
  <si>
    <t>Impermeabilização em manta asfáltica plastomérica com armadura, tipo III, espessura de 4 mm, face exposta em geotêxtil com membrana acrílica</t>
  </si>
  <si>
    <t>32.15.100</t>
  </si>
  <si>
    <t>Esmalte à base água em superfície metálica, inclusive preparo</t>
  </si>
  <si>
    <t>33.11.050</t>
  </si>
  <si>
    <t>7.</t>
  </si>
  <si>
    <t>7.1</t>
  </si>
  <si>
    <t>7.2</t>
  </si>
  <si>
    <t>7.3</t>
  </si>
  <si>
    <t>7.4</t>
  </si>
  <si>
    <t>5.3</t>
  </si>
  <si>
    <t>5.4</t>
  </si>
  <si>
    <t>mictórios de inox</t>
  </si>
  <si>
    <t>remoção vidros pintados da porta do fundo : 2,85*1,70*2 / vidros quebrados: 1,00*0,20*5unidades</t>
  </si>
  <si>
    <t>retirada de venezianas industriais existentes: 2,80*1,00*28</t>
  </si>
  <si>
    <t>Retirada de registro ou válvula embutidos</t>
  </si>
  <si>
    <t>04.11.080</t>
  </si>
  <si>
    <t>retirada de válvulas hidra existentes: 25 unidades</t>
  </si>
  <si>
    <t>7 unidades</t>
  </si>
  <si>
    <t>reparo piso granilite</t>
  </si>
  <si>
    <t>piso granilite</t>
  </si>
  <si>
    <t>piso quadra poliesportiva</t>
  </si>
  <si>
    <t>2,80*1,00*28</t>
  </si>
  <si>
    <t xml:space="preserve"> porta do fundo : 2,85*1,70*2 / vidros quebrados: 1,00*0,20*5unidades</t>
  </si>
  <si>
    <t>0,60*1,80*3 unidades + 0,80*2,10*2 unidades</t>
  </si>
  <si>
    <t>6 unidades 0,50*1,20</t>
  </si>
  <si>
    <t>4.4</t>
  </si>
  <si>
    <t>vestiários: 36,00*1,60*4 unidades = 230,40 m² / cantinas: 13,05*1,60*2 unidades: 41,76 m2 / sanitário feminino frente: 30,95*1,60 = 49,52 m² / sanitário masculino frente: 33,55*1,60 = 53,68 m² / vestiário árbitro: 21,47*1,60 = 34,35 m² / sanitário feminino fundo: 30,95*1,60 = 49,52 m² / sanitário masculino fundo: 36,00*1,60 = 57,690 m²</t>
  </si>
  <si>
    <t>Andaime torre metálico (1,5 x 1,5 m) com piso metálico</t>
  </si>
  <si>
    <t>02.05.202</t>
  </si>
  <si>
    <t>MXMES</t>
  </si>
  <si>
    <t>mxmes</t>
  </si>
  <si>
    <t>andaime para retirada de venezianas e instalação de venezianas novas 16 metros de andaime por mês * 2 meses</t>
  </si>
  <si>
    <t>1.7</t>
  </si>
  <si>
    <t>impermeabilização laje entrada ginásio</t>
  </si>
  <si>
    <t>Tinta acrílica antimofo em massa, inclusive preparo (interna)</t>
  </si>
  <si>
    <t>Tinta acrílica antimofo em massa, inclusive preparo (externa)</t>
  </si>
  <si>
    <t>vitrôs de ferro: 2,60*1,00*22 unidades * 2 lados + portões de correr: 5,25*2,10*2lados + 2,85*2,10*2lados</t>
  </si>
  <si>
    <t>Tela de arame galvanizado fio nº 22 BWG, malha de 2´, tipo galinheiro</t>
  </si>
  <si>
    <t>34.20.050</t>
  </si>
  <si>
    <t>fechamento da viga metálica superior com tela para evitar entrada de pássaros: 1,70 m * 44,15 * 2</t>
  </si>
  <si>
    <t>6.3</t>
  </si>
  <si>
    <t>laterais: 377,91 m2 * 2 = 755,82 m² + frente e fundo: 44,15*9,30*2 = 821,19 m2 / bilheteria: 12,10*2,50*2 = 60,50 m2 + laje bilheteria: 52,41 m² + platibanda bilheteria: 20,75*0,80 = 16,60 m² // descontar: janelas e portões 80,51 m² + venezianas 78,40 m²</t>
  </si>
  <si>
    <t>QE-36 REDE DE PROTECAO PARA QUADRAS DE ESPORTES</t>
  </si>
  <si>
    <t>06.03.069</t>
  </si>
  <si>
    <t>FDE</t>
  </si>
  <si>
    <t>6.4</t>
  </si>
  <si>
    <t>substituição do fechamento lateral quadra - proteção para bola: laterais = 36*9,65 (h) * 2 lados + fundos 254,00 m2 * 2 lados = total 1.202,80 m²</t>
  </si>
  <si>
    <t>PINTURA DE QUADRAS ESP-LINHAS DEMARCATORIAS (600M2)</t>
  </si>
  <si>
    <t>15.04.080</t>
  </si>
  <si>
    <t>7.5</t>
  </si>
  <si>
    <t>APLICACAO PINTURA IMPERM DUAS DEMAOS SITEMA DUPLO EPOXI POLIURETANO</t>
  </si>
  <si>
    <t>16.48.015</t>
  </si>
  <si>
    <t>área quadra poliesportiva: 741,60 m²</t>
  </si>
  <si>
    <t>vestiários: 415,36 m² / ADM 21,32 m² / Depósitos: 54,90 m² / Cantinas e corredores: 353,42 m² / sanitários femininos 41,26 m² / sanitário masc frente 18,75 m² / sanitário masc fundo 17,13 m² / sala árbitro 10,53 m² / interno quadra 863,00 m²</t>
  </si>
  <si>
    <t>8.</t>
  </si>
  <si>
    <t>RESERVATÓRIO</t>
  </si>
  <si>
    <t>8.1</t>
  </si>
  <si>
    <t>8.2</t>
  </si>
  <si>
    <t>Reparos em pisos de alta resistência fundidos no local ‐ estucamento e polimento (granilite)</t>
  </si>
  <si>
    <t>INFRAESTRUTURA</t>
  </si>
  <si>
    <t>12.01.041</t>
  </si>
  <si>
    <t>Broca em concreto armado diâmetro de 25 cm ‐ completa</t>
  </si>
  <si>
    <t>M</t>
  </si>
  <si>
    <t>06.01.020</t>
  </si>
  <si>
    <t>Escavação manual em solo de 1ª e 2ª categoria em campo aberto</t>
  </si>
  <si>
    <t>M3</t>
  </si>
  <si>
    <t>16.13.010</t>
  </si>
  <si>
    <t>APILOAMENTO PARA SIMPLES REGULARIZACAO</t>
  </si>
  <si>
    <t>M2</t>
  </si>
  <si>
    <t>16.13.026</t>
  </si>
  <si>
    <t>LASTRO DE PEDRA BRITADA - 5CM</t>
  </si>
  <si>
    <t>09.01.020</t>
  </si>
  <si>
    <t>Forma em madeira comum para fundação</t>
  </si>
  <si>
    <t>16.14.048</t>
  </si>
  <si>
    <t>CONCRETO DOSADO BOMBEADO E LANCADO FCK=25 MPA</t>
  </si>
  <si>
    <t>10.01.040</t>
  </si>
  <si>
    <t>Armadura em barra de aço CA‐50 (A ou B) fyk = 500 MPa</t>
  </si>
  <si>
    <t>KG</t>
  </si>
  <si>
    <t>RESERVATÓRIO METÁLICO</t>
  </si>
  <si>
    <t>48.03.138</t>
  </si>
  <si>
    <t>Reservatório metálico cilíndrico horizontal ‐ capacidade de 10.000 litros</t>
  </si>
  <si>
    <t>08.03.019</t>
  </si>
  <si>
    <t>TUBO PVC RÍGIDO JUNTA SOLDÁVEL DE 50 INCL CONEXÕES</t>
  </si>
  <si>
    <t>8.3</t>
  </si>
  <si>
    <t xml:space="preserve">RESERVATÓRIO </t>
  </si>
  <si>
    <t>BROCA DE CONCRETO DE DIAMETRO 30CM - INCL ARRANQUES</t>
  </si>
  <si>
    <t>m</t>
  </si>
  <si>
    <t>6 brocas profundidade 6 m</t>
  </si>
  <si>
    <t>ESCAVACAO MANUAL - PROFUNDIDADE ATE 1.80 M</t>
  </si>
  <si>
    <t>m3</t>
  </si>
  <si>
    <t>escavação = 1,20 * 1,20 * 1,00 (h)</t>
  </si>
  <si>
    <t>m2</t>
  </si>
  <si>
    <t>1,20 * 1,20 m</t>
  </si>
  <si>
    <t>forma = (1,2 + 1,2 + 1,2+ 1,2) * 1,00 (h)</t>
  </si>
  <si>
    <t>1,2 * 1,2 * 1,00</t>
  </si>
  <si>
    <t>ACO CA-50 (A OU B) FYK = 500 MPA</t>
  </si>
  <si>
    <t>Kg</t>
  </si>
  <si>
    <t>concreto * 100</t>
  </si>
  <si>
    <t>vestiários: 36,00*1,60*4 unidades = 230,40 m² / cantinas: 2,80*1,60*2unidades = 8,96 m2/ sanitário feminino frente e wc pne: 30,95*1,60 = 48,40 m² / sanitário masculino frente: 33,55*1,60 = 53,68 m² / vestiário árbitro: 21,47*1,60 = 34,35 m² / sanitário feminino fundo e wc pne: 30,95*1,60 = 48,40 m² / sanitário masculino fundo: 36,00*1,60 = 57,690 m²</t>
  </si>
  <si>
    <t>Retirada de batente com guarnição e peças lineares em madeira, chumbados</t>
  </si>
  <si>
    <t>04.08.060</t>
  </si>
  <si>
    <t>retirada portas sanitários femininos (frente e fundo) 0,80*2,10*2unidades</t>
  </si>
  <si>
    <t>1.8</t>
  </si>
  <si>
    <t>Demolição manual de alvenaria de elevação ou elemento vazado, incluindo revestimento</t>
  </si>
  <si>
    <t>03.02.040</t>
  </si>
  <si>
    <t>abertura vão portas sanitários 0,70*2,10*0,15*2</t>
  </si>
  <si>
    <t>revestimento: 509,20*0,02 / folha porta: 0,80*2,10*0,04*3 unid / mictorios: 1,50*0,4*0,4*2 / esquadria 78,4*0,1 / alvenaria 0,44 m³</t>
  </si>
  <si>
    <t>1.9</t>
  </si>
  <si>
    <t>ALVENARIA</t>
  </si>
  <si>
    <t>Alvenaria de bloco cerâmico de vedação, uso revestido, de 14 cm</t>
  </si>
  <si>
    <t>14.04.210</t>
  </si>
  <si>
    <t>construção sanitário PNE 1,65 m * 1,90 (h)* 2 banheiros</t>
  </si>
  <si>
    <t>vestiários: 36,00*1,60*4 unidades = 230,40 m² / cantinas: 13,05*1,60*2 unidades: 41,76 m2 / sanitário feminino frente: 30,95*1,60 = 48,40 m² / sanitário masculino frente: 33,55*1,60 = 53,68 m² / vestiário árbitro: 21,47*1,60 = 34,35 m² / sanitário feminino fundo: 30,95*1,60 = 48,40 m² / sanitário masculino fundo: 36,00*1,60 = 57,690 m² // wc pne 1,65 * 0,30 * = 0,99 m²</t>
  </si>
  <si>
    <t>área de remoção de revestimento que não será mais recolocado (cantinas) // wc pne 1,65 * 0,30 * = 0,99 m²</t>
  </si>
  <si>
    <t>instalação de válvulas novas: 25 unidades + 2 wc pne</t>
  </si>
  <si>
    <t>Lavatório de louça para canto sem coluna para pessoas com mobilidade reduzida</t>
  </si>
  <si>
    <t>30.08.040</t>
  </si>
  <si>
    <t>Bacia sifonada de louça para pessoas com mobilidade reduzida ‐  capacidade de 6 litros</t>
  </si>
  <si>
    <t>30.08.060</t>
  </si>
  <si>
    <t>substituição de todas as torneiras dos banheiros + torneiras pne</t>
  </si>
  <si>
    <t>Piso em granilite moldado no loca</t>
  </si>
  <si>
    <t>17.10.020</t>
  </si>
  <si>
    <t>recomposição piso sanitários PNE</t>
  </si>
  <si>
    <t>4.5</t>
  </si>
  <si>
    <t>Piso com requadro em concreto simples sem controle de fck</t>
  </si>
  <si>
    <t>17.05.020</t>
  </si>
  <si>
    <t>34,93 M² *0 ,20 adequação piso acessso para tirar degrau</t>
  </si>
  <si>
    <t>4 unidades</t>
  </si>
  <si>
    <t>Porta macho e fêmea com batente de madeira ‐ 80 x 210 cm</t>
  </si>
  <si>
    <t>23.02.040</t>
  </si>
  <si>
    <t>Porta macho e fêmea com batente de madeira ‐ 90 x 210 cm</t>
  </si>
  <si>
    <t>23.02.050</t>
  </si>
  <si>
    <t>5.5</t>
  </si>
  <si>
    <t>sanitários femininos</t>
  </si>
  <si>
    <t>wcs PNE</t>
  </si>
  <si>
    <t>pintura de portas internas de madeira: 0,80*2,10*16 unidades * 2 lados + 0,60*1,80*25 unidades * 2 lados + 2 portas 0,80*2,10 + 2 portas 0,90*2,10</t>
  </si>
  <si>
    <t>Barra de apoio reta, para pessoas com mobilidade reduzida, em tubo de aço inoxidável de 1 1/2´ x 800 mm</t>
  </si>
  <si>
    <t>Barra de apoio lateral para lavatório, para pessoas com mobilidade reduzida, em tubo de aço inoxidável de 1.1/4", comprimento 25 a 30 cm</t>
  </si>
  <si>
    <t>30.01.061</t>
  </si>
  <si>
    <t>30.01.030</t>
  </si>
  <si>
    <t>Tubo de PVC rígido soldável marrom, DN= 75 mm, (2 1/2´), inclusive conexões</t>
  </si>
  <si>
    <t>46.01.070</t>
  </si>
  <si>
    <t>Tubo de PVC rígido branco PxB com virola e anel de borracha, linha esgoto série normal, DN= 50 mm, inclusive conexões</t>
  </si>
  <si>
    <t>46.02.050</t>
  </si>
  <si>
    <t>Tubo de PVC rígido branco PxB com virola e anel de borracha, linha esgoto série normal, DN= 100 mm, inclusive conexões</t>
  </si>
  <si>
    <t>46.02.070</t>
  </si>
  <si>
    <t>sanitários PNE</t>
  </si>
  <si>
    <t>Tietê, 01 de fevereiro de 2023.</t>
  </si>
  <si>
    <t>4.6</t>
  </si>
  <si>
    <t>4.7</t>
  </si>
  <si>
    <t>4.8</t>
  </si>
  <si>
    <t>4.9</t>
  </si>
  <si>
    <t>4.10</t>
  </si>
  <si>
    <t>4.11</t>
  </si>
  <si>
    <t>6.5</t>
  </si>
  <si>
    <t>6.6</t>
  </si>
  <si>
    <t>8.4</t>
  </si>
  <si>
    <t>8.5</t>
  </si>
  <si>
    <t>8.6</t>
  </si>
  <si>
    <t>9.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</si>
  <si>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</si>
  <si>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</si>
  <si>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</si>
  <si>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</si>
  <si>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</si>
  <si>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</si>
  <si>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</si>
  <si>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</si>
  <si>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9.2</t>
  </si>
  <si>
    <t>9.2.1</t>
  </si>
  <si>
    <t>9.3</t>
  </si>
  <si>
    <t>9.3.1</t>
  </si>
  <si>
    <t>24.01.190</t>
  </si>
  <si>
    <t>Caixilho fixo em tela de aço galvanizado tipo ondulada com malha de 1/2", fio 12, com requadro em cantoneira de aço carbono, sob medida</t>
  </si>
  <si>
    <t>63,87 m (extensão guarda corpo) * 0,80 (altura tela) * 2 lados</t>
  </si>
  <si>
    <t>1º MÊS</t>
  </si>
  <si>
    <t>2º MÊS</t>
  </si>
  <si>
    <t>3º MÊS</t>
  </si>
  <si>
    <t>4º MÊS</t>
  </si>
  <si>
    <t>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</si>
</sst>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0" applyFont="1" applyFill="1" applyAlignment="1" applyProtection="1">
      <alignment vertical="top"/>
      <protection/>
    </xf>
    <xf numFmtId="49" fontId="3" fillId="2" borderId="0" xfId="0" applyNumberFormat="1" applyFont="1" applyFill="1" applyAlignment="1" applyProtection="1">
      <alignment horizontal="right"/>
      <protection/>
    </xf>
    <xf numFmtId="4" fontId="2" fillId="2" borderId="0" xfId="0" applyNumberFormat="1" applyFont="1" applyFill="1" applyAlignment="1" applyProtection="1">
      <alignment vertical="top"/>
      <protection/>
    </xf>
    <xf numFmtId="4" fontId="3" fillId="2" borderId="0" xfId="0" applyNumberFormat="1" applyFont="1" applyFill="1" applyAlignment="1" applyProtection="1">
      <alignment vertical="top"/>
      <protection/>
    </xf>
    <xf numFmtId="49" fontId="6" fillId="2" borderId="0" xfId="0" applyNumberFormat="1" applyFont="1" applyFill="1" applyAlignment="1" applyProtection="1">
      <alignment horizontal="right" vertical="top"/>
      <protection/>
    </xf>
    <xf numFmtId="0" fontId="7" fillId="2" borderId="0" xfId="0" applyNumberFormat="1" applyFont="1" applyFill="1" applyAlignment="1" applyProtection="1">
      <alignment vertical="top"/>
      <protection/>
    </xf>
    <xf numFmtId="49" fontId="7" fillId="2" borderId="0" xfId="0" applyNumberFormat="1" applyFont="1" applyFill="1" applyAlignment="1" applyProtection="1">
      <alignment horizontal="right" vertical="top"/>
      <protection/>
    </xf>
    <xf numFmtId="49" fontId="3" fillId="2" borderId="0" xfId="0" applyNumberFormat="1" applyFont="1" applyFill="1" applyAlignment="1" applyProtection="1">
      <alignment horizontal="right" vertical="top"/>
      <protection/>
    </xf>
    <xf numFmtId="4" fontId="5" fillId="3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1" xfId="20" applyFont="1" applyFill="1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>
      <alignment vertical="center"/>
    </xf>
    <xf numFmtId="44" fontId="10" fillId="2" borderId="1" xfId="2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center" vertical="top"/>
      <protection/>
    </xf>
    <xf numFmtId="0" fontId="0" fillId="0" borderId="1" xfId="0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Alignment="1">
      <alignment vertical="center"/>
    </xf>
    <xf numFmtId="44" fontId="10" fillId="2" borderId="2" xfId="20" applyFont="1" applyFill="1" applyBorder="1" applyAlignment="1" applyProtection="1">
      <alignment horizontal="right" vertical="center" wrapText="1"/>
      <protection locked="0"/>
    </xf>
    <xf numFmtId="44" fontId="10" fillId="2" borderId="1" xfId="2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10" fontId="3" fillId="2" borderId="3" xfId="0" applyNumberFormat="1" applyFont="1" applyFill="1" applyBorder="1" applyAlignment="1" applyProtection="1">
      <alignment horizontal="center" vertical="top"/>
      <protection/>
    </xf>
    <xf numFmtId="4" fontId="2" fillId="3" borderId="4" xfId="0" applyNumberFormat="1" applyFont="1" applyFill="1" applyBorder="1" applyAlignment="1" applyProtection="1">
      <alignment vertical="top"/>
      <protection/>
    </xf>
    <xf numFmtId="17" fontId="3" fillId="2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164" fontId="13" fillId="3" borderId="4" xfId="0" applyNumberFormat="1" applyFont="1" applyFill="1" applyBorder="1" applyAlignment="1">
      <alignment vertical="center"/>
    </xf>
    <xf numFmtId="0" fontId="3" fillId="3" borderId="6" xfId="0" applyNumberFormat="1" applyFont="1" applyFill="1" applyBorder="1" applyAlignment="1" applyProtection="1">
      <alignment horizontal="left" vertical="top"/>
      <protection/>
    </xf>
    <xf numFmtId="17" fontId="3" fillId="3" borderId="6" xfId="0" applyNumberFormat="1" applyFont="1" applyFill="1" applyBorder="1" applyAlignment="1" applyProtection="1">
      <alignment horizontal="left" vertical="top"/>
      <protection/>
    </xf>
    <xf numFmtId="44" fontId="10" fillId="2" borderId="3" xfId="20" applyFont="1" applyFill="1" applyBorder="1" applyAlignment="1" applyProtection="1">
      <alignment horizontal="left" vertical="center" wrapText="1"/>
      <protection locked="0"/>
    </xf>
    <xf numFmtId="44" fontId="10" fillId="2" borderId="3" xfId="20" applyFont="1" applyFill="1" applyBorder="1" applyAlignment="1" applyProtection="1">
      <alignment horizontal="right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7" xfId="20" applyFont="1" applyFill="1" applyBorder="1" applyAlignment="1" applyProtection="1">
      <alignment horizontal="left" vertical="center" wrapText="1"/>
      <protection locked="0"/>
    </xf>
    <xf numFmtId="44" fontId="0" fillId="0" borderId="7" xfId="0" applyNumberFormat="1" applyBorder="1" applyAlignment="1">
      <alignment vertical="center"/>
    </xf>
    <xf numFmtId="44" fontId="10" fillId="2" borderId="7" xfId="20" applyFont="1" applyFill="1" applyBorder="1" applyAlignment="1" applyProtection="1">
      <alignment horizontal="right" vertical="center" wrapText="1"/>
      <protection locked="0"/>
    </xf>
    <xf numFmtId="0" fontId="9" fillId="3" borderId="2" xfId="0" applyFont="1" applyFill="1" applyBorder="1" applyAlignment="1" applyProtection="1">
      <alignment horizontal="center" vertical="top" wrapText="1"/>
      <protection/>
    </xf>
    <xf numFmtId="0" fontId="9" fillId="3" borderId="6" xfId="0" applyFont="1" applyFill="1" applyBorder="1" applyAlignment="1" applyProtection="1">
      <alignment horizontal="center" vertical="top" wrapText="1"/>
      <protection/>
    </xf>
    <xf numFmtId="0" fontId="9" fillId="3" borderId="5" xfId="0" applyFont="1" applyFill="1" applyBorder="1" applyAlignment="1" applyProtection="1">
      <alignment horizontal="center" vertical="top" wrapText="1"/>
      <protection/>
    </xf>
    <xf numFmtId="0" fontId="0" fillId="3" borderId="5" xfId="0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2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10" fillId="3" borderId="5" xfId="20" applyFont="1" applyFill="1" applyBorder="1" applyAlignment="1" applyProtection="1">
      <alignment horizontal="left" vertical="center" wrapText="1"/>
      <protection locked="0"/>
    </xf>
    <xf numFmtId="44" fontId="0" fillId="3" borderId="5" xfId="0" applyNumberFormat="1" applyFill="1" applyBorder="1" applyAlignment="1">
      <alignment vertical="center"/>
    </xf>
    <xf numFmtId="44" fontId="0" fillId="3" borderId="5" xfId="0" applyNumberFormat="1" applyFill="1" applyBorder="1"/>
    <xf numFmtId="44" fontId="12" fillId="3" borderId="4" xfId="0" applyNumberFormat="1" applyFont="1" applyFill="1" applyBorder="1"/>
    <xf numFmtId="0" fontId="2" fillId="2" borderId="0" xfId="0" applyFont="1" applyFill="1" applyAlignment="1" applyProtection="1">
      <alignment horizontal="center" vertical="top"/>
      <protection/>
    </xf>
    <xf numFmtId="0" fontId="0" fillId="3" borderId="6" xfId="0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/>
    </xf>
    <xf numFmtId="0" fontId="9" fillId="3" borderId="2" xfId="0" applyFont="1" applyFill="1" applyBorder="1" applyAlignment="1" applyProtection="1">
      <alignment horizontal="center" wrapText="1"/>
      <protection/>
    </xf>
    <xf numFmtId="0" fontId="9" fillId="3" borderId="5" xfId="0" applyFont="1" applyFill="1" applyBorder="1" applyAlignment="1" applyProtection="1">
      <alignment horizontal="center" wrapText="1"/>
      <protection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top"/>
      <protection/>
    </xf>
    <xf numFmtId="0" fontId="0" fillId="0" borderId="1" xfId="0" applyBorder="1" applyAlignment="1">
      <alignment horizontal="left"/>
    </xf>
    <xf numFmtId="0" fontId="5" fillId="3" borderId="5" xfId="0" applyFont="1" applyFill="1" applyBorder="1" applyAlignment="1">
      <alignment wrapText="1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44" fontId="0" fillId="0" borderId="3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10" fillId="2" borderId="2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1" xfId="0" applyFill="1" applyBorder="1" applyAlignment="1">
      <alignment wrapText="1"/>
    </xf>
    <xf numFmtId="44" fontId="15" fillId="3" borderId="4" xfId="20" applyFont="1" applyFill="1" applyBorder="1" applyAlignment="1" applyProtection="1">
      <alignment horizontal="right" vertical="center" wrapText="1"/>
      <protection locked="0"/>
    </xf>
    <xf numFmtId="44" fontId="14" fillId="3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2" fontId="0" fillId="0" borderId="1" xfId="0" applyNumberForma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0" fillId="0" borderId="1" xfId="0" applyNumberFormat="1" applyFill="1" applyBorder="1" applyAlignment="1">
      <alignment vertical="center"/>
    </xf>
    <xf numFmtId="4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2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4" fontId="0" fillId="2" borderId="5" xfId="0" applyNumberFormat="1" applyFont="1" applyFill="1" applyBorder="1" applyAlignment="1">
      <alignment vertical="center"/>
    </xf>
    <xf numFmtId="44" fontId="12" fillId="2" borderId="1" xfId="0" applyNumberFormat="1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44" fontId="16" fillId="2" borderId="1" xfId="21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44" fontId="0" fillId="0" borderId="0" xfId="0" applyNumberFormat="1" applyAlignment="1">
      <alignment horizontal="center"/>
    </xf>
    <xf numFmtId="44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2" fontId="0" fillId="3" borderId="5" xfId="0" applyNumberForma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2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5" xfId="20" applyFont="1" applyFill="1" applyBorder="1" applyAlignment="1" applyProtection="1">
      <alignment horizontal="left" vertical="center" wrapText="1"/>
      <protection locked="0"/>
    </xf>
    <xf numFmtId="44" fontId="0" fillId="0" borderId="5" xfId="0" applyNumberForma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9" fillId="0" borderId="8" xfId="0" applyFont="1" applyFill="1" applyBorder="1" applyAlignment="1" applyProtection="1">
      <alignment horizontal="center" wrapText="1"/>
      <protection/>
    </xf>
    <xf numFmtId="0" fontId="9" fillId="0" borderId="8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44" fontId="14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wrapText="1"/>
    </xf>
    <xf numFmtId="44" fontId="15" fillId="0" borderId="4" xfId="20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7" xfId="20" applyFont="1" applyFill="1" applyBorder="1" applyAlignment="1" applyProtection="1">
      <alignment horizontal="left" vertical="center" wrapText="1"/>
      <protection locked="0"/>
    </xf>
    <xf numFmtId="44" fontId="0" fillId="0" borderId="7" xfId="0" applyNumberFormat="1" applyFill="1" applyBorder="1" applyAlignment="1">
      <alignment vertical="center"/>
    </xf>
    <xf numFmtId="44" fontId="10" fillId="0" borderId="7" xfId="20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>
      <alignment horizontal="left"/>
    </xf>
    <xf numFmtId="44" fontId="0" fillId="0" borderId="5" xfId="0" applyNumberFormat="1" applyFill="1" applyBorder="1"/>
    <xf numFmtId="44" fontId="12" fillId="0" borderId="4" xfId="0" applyNumberFormat="1" applyFont="1" applyFill="1" applyBorder="1"/>
    <xf numFmtId="44" fontId="10" fillId="0" borderId="3" xfId="20" applyFont="1" applyFill="1" applyBorder="1" applyAlignment="1" applyProtection="1">
      <alignment horizontal="left" vertical="center" wrapText="1"/>
      <protection locked="0"/>
    </xf>
    <xf numFmtId="44" fontId="0" fillId="0" borderId="3" xfId="0" applyNumberFormat="1" applyFill="1" applyBorder="1" applyAlignment="1">
      <alignment vertical="center"/>
    </xf>
    <xf numFmtId="44" fontId="10" fillId="0" borderId="3" xfId="20" applyFont="1" applyFill="1" applyBorder="1" applyAlignment="1" applyProtection="1">
      <alignment horizontal="right" vertical="center" wrapText="1"/>
      <protection locked="0"/>
    </xf>
    <xf numFmtId="0" fontId="10" fillId="0" borderId="4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44" fontId="0" fillId="0" borderId="2" xfId="0" applyNumberFormat="1" applyFill="1" applyBorder="1" applyAlignment="1">
      <alignment vertical="center"/>
    </xf>
    <xf numFmtId="44" fontId="10" fillId="0" borderId="2" xfId="20" applyFont="1" applyFill="1" applyBorder="1" applyAlignment="1" applyProtection="1">
      <alignment horizontal="right" vertical="center" wrapText="1"/>
      <protection locked="0"/>
    </xf>
    <xf numFmtId="44" fontId="0" fillId="0" borderId="1" xfId="0" applyNumberForma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6" fillId="2" borderId="0" xfId="0" applyNumberFormat="1" applyFont="1" applyFill="1" applyAlignment="1" applyProtection="1">
      <alignment horizontal="left" vertical="top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13" fillId="3" borderId="5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 applyProtection="1">
      <alignment horizontal="left" vertical="top" wrapText="1"/>
      <protection/>
    </xf>
    <xf numFmtId="0" fontId="9" fillId="3" borderId="4" xfId="0" applyFont="1" applyFill="1" applyBorder="1" applyAlignment="1" applyProtection="1">
      <alignment horizontal="left" vertical="top" wrapText="1"/>
      <protection/>
    </xf>
    <xf numFmtId="0" fontId="5" fillId="3" borderId="4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Vírgula" xfId="21"/>
  </cellStyles>
  <dxfs count="206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7</xdr:row>
      <xdr:rowOff>104775</xdr:rowOff>
    </xdr:from>
    <xdr:to>
      <xdr:col>9</xdr:col>
      <xdr:colOff>847725</xdr:colOff>
      <xdr:row>7</xdr:row>
      <xdr:rowOff>104775</xdr:rowOff>
    </xdr:to>
    <xdr:cxnSp macro="">
      <xdr:nvCxnSpPr>
        <xdr:cNvPr id="3" name="Conector reto 2"/>
        <xdr:cNvCxnSpPr/>
      </xdr:nvCxnSpPr>
      <xdr:spPr>
        <a:xfrm>
          <a:off x="4248150" y="1685925"/>
          <a:ext cx="7048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18</xdr:row>
      <xdr:rowOff>123825</xdr:rowOff>
    </xdr:from>
    <xdr:to>
      <xdr:col>9</xdr:col>
      <xdr:colOff>838200</xdr:colOff>
      <xdr:row>18</xdr:row>
      <xdr:rowOff>123825</xdr:rowOff>
    </xdr:to>
    <xdr:cxnSp macro="">
      <xdr:nvCxnSpPr>
        <xdr:cNvPr id="4" name="Conector reto 3"/>
        <xdr:cNvCxnSpPr/>
      </xdr:nvCxnSpPr>
      <xdr:spPr>
        <a:xfrm>
          <a:off x="4238625" y="2085975"/>
          <a:ext cx="7048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904875</xdr:colOff>
      <xdr:row>20</xdr:row>
      <xdr:rowOff>142875</xdr:rowOff>
    </xdr:to>
    <xdr:cxnSp macro="">
      <xdr:nvCxnSpPr>
        <xdr:cNvPr id="5" name="Conector reto 4"/>
        <xdr:cNvCxnSpPr/>
      </xdr:nvCxnSpPr>
      <xdr:spPr>
        <a:xfrm>
          <a:off x="4305300" y="2514600"/>
          <a:ext cx="7048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25</xdr:row>
      <xdr:rowOff>123825</xdr:rowOff>
    </xdr:from>
    <xdr:to>
      <xdr:col>12</xdr:col>
      <xdr:colOff>942975</xdr:colOff>
      <xdr:row>25</xdr:row>
      <xdr:rowOff>142875</xdr:rowOff>
    </xdr:to>
    <xdr:cxnSp macro="">
      <xdr:nvCxnSpPr>
        <xdr:cNvPr id="6" name="Conector reto 5"/>
        <xdr:cNvCxnSpPr/>
      </xdr:nvCxnSpPr>
      <xdr:spPr>
        <a:xfrm>
          <a:off x="4314825" y="2895600"/>
          <a:ext cx="3971925" cy="1905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37</xdr:row>
      <xdr:rowOff>123825</xdr:rowOff>
    </xdr:from>
    <xdr:to>
      <xdr:col>12</xdr:col>
      <xdr:colOff>914400</xdr:colOff>
      <xdr:row>37</xdr:row>
      <xdr:rowOff>123825</xdr:rowOff>
    </xdr:to>
    <xdr:cxnSp macro="">
      <xdr:nvCxnSpPr>
        <xdr:cNvPr id="8" name="Conector reto 7"/>
        <xdr:cNvCxnSpPr/>
      </xdr:nvCxnSpPr>
      <xdr:spPr>
        <a:xfrm flipV="1">
          <a:off x="6419850" y="3286125"/>
          <a:ext cx="18383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43</xdr:row>
      <xdr:rowOff>123825</xdr:rowOff>
    </xdr:from>
    <xdr:to>
      <xdr:col>11</xdr:col>
      <xdr:colOff>952500</xdr:colOff>
      <xdr:row>43</xdr:row>
      <xdr:rowOff>123825</xdr:rowOff>
    </xdr:to>
    <xdr:cxnSp macro="">
      <xdr:nvCxnSpPr>
        <xdr:cNvPr id="10" name="Conector reto 9"/>
        <xdr:cNvCxnSpPr/>
      </xdr:nvCxnSpPr>
      <xdr:spPr>
        <a:xfrm flipV="1">
          <a:off x="5381625" y="3676650"/>
          <a:ext cx="18478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50</xdr:row>
      <xdr:rowOff>123825</xdr:rowOff>
    </xdr:from>
    <xdr:to>
      <xdr:col>12</xdr:col>
      <xdr:colOff>942975</xdr:colOff>
      <xdr:row>50</xdr:row>
      <xdr:rowOff>133350</xdr:rowOff>
    </xdr:to>
    <xdr:cxnSp macro="">
      <xdr:nvCxnSpPr>
        <xdr:cNvPr id="11" name="Conector reto 10"/>
        <xdr:cNvCxnSpPr/>
      </xdr:nvCxnSpPr>
      <xdr:spPr>
        <a:xfrm>
          <a:off x="5362575" y="4095750"/>
          <a:ext cx="292417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56</xdr:row>
      <xdr:rowOff>133350</xdr:rowOff>
    </xdr:from>
    <xdr:to>
      <xdr:col>12</xdr:col>
      <xdr:colOff>885825</xdr:colOff>
      <xdr:row>56</xdr:row>
      <xdr:rowOff>133350</xdr:rowOff>
    </xdr:to>
    <xdr:cxnSp macro="">
      <xdr:nvCxnSpPr>
        <xdr:cNvPr id="12" name="Conector reto 11"/>
        <xdr:cNvCxnSpPr/>
      </xdr:nvCxnSpPr>
      <xdr:spPr>
        <a:xfrm>
          <a:off x="5353050" y="4524375"/>
          <a:ext cx="28765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63</xdr:row>
      <xdr:rowOff>142875</xdr:rowOff>
    </xdr:from>
    <xdr:to>
      <xdr:col>12</xdr:col>
      <xdr:colOff>923925</xdr:colOff>
      <xdr:row>63</xdr:row>
      <xdr:rowOff>142875</xdr:rowOff>
    </xdr:to>
    <xdr:cxnSp macro="">
      <xdr:nvCxnSpPr>
        <xdr:cNvPr id="13" name="Conector reto 12"/>
        <xdr:cNvCxnSpPr/>
      </xdr:nvCxnSpPr>
      <xdr:spPr>
        <a:xfrm>
          <a:off x="7562850" y="4905375"/>
          <a:ext cx="7048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2">
          <cell r="B2" t="str">
            <v>PREFEITURA MUNICIPAL DE TIETE</v>
          </cell>
        </row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>
        <row r="4">
          <cell r="E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zoomScale="110" zoomScaleNormal="110" workbookViewId="0" topLeftCell="A1">
      <selection activeCell="I2" sqref="I2"/>
    </sheetView>
  </sheetViews>
  <sheetFormatPr defaultColWidth="9.140625" defaultRowHeight="15"/>
  <cols>
    <col min="1" max="1" width="7.00390625" style="119" customWidth="1"/>
    <col min="2" max="2" width="11.00390625" style="119" hidden="1" customWidth="1"/>
    <col min="3" max="3" width="10.8515625" style="119" hidden="1" customWidth="1"/>
    <col min="4" max="4" width="36.7109375" style="0" customWidth="1"/>
    <col min="5" max="6" width="9.140625" style="0" hidden="1" customWidth="1"/>
    <col min="7" max="7" width="13.421875" style="0" hidden="1" customWidth="1"/>
    <col min="8" max="8" width="16.140625" style="0" hidden="1" customWidth="1"/>
    <col min="9" max="9" width="17.8515625" style="0" customWidth="1"/>
    <col min="10" max="10" width="16.57421875" style="0" customWidth="1"/>
    <col min="11" max="13" width="16.00390625" style="0" customWidth="1"/>
  </cols>
  <sheetData>
    <row r="1" spans="1:10" ht="15">
      <c r="A1" s="61"/>
      <c r="B1" s="63"/>
      <c r="C1" s="23"/>
      <c r="D1" s="2"/>
      <c r="E1" s="1"/>
      <c r="F1" s="1"/>
      <c r="G1" s="3"/>
      <c r="H1" s="4"/>
      <c r="I1" s="4"/>
      <c r="J1" s="4"/>
    </row>
    <row r="2" spans="1:10" ht="15.75">
      <c r="A2" s="170" t="s">
        <v>64</v>
      </c>
      <c r="B2" s="170"/>
      <c r="C2" s="170"/>
      <c r="D2" s="170"/>
      <c r="E2" s="5"/>
      <c r="F2" s="5"/>
      <c r="G2" s="171" t="s">
        <v>40</v>
      </c>
      <c r="H2" s="41" t="s">
        <v>56</v>
      </c>
      <c r="I2" s="127"/>
      <c r="J2" s="30"/>
    </row>
    <row r="3" spans="1:10" ht="15">
      <c r="A3" s="69" t="s">
        <v>65</v>
      </c>
      <c r="B3" s="69"/>
      <c r="C3" s="69"/>
      <c r="D3" s="69"/>
      <c r="E3" s="6"/>
      <c r="F3" s="7"/>
      <c r="G3" s="171"/>
      <c r="H3" s="42" t="s">
        <v>55</v>
      </c>
      <c r="I3" s="127"/>
      <c r="J3" s="30"/>
    </row>
    <row r="4" spans="1:13" ht="15">
      <c r="A4" s="173" t="s">
        <v>283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7" spans="1:13" ht="33.75" customHeight="1">
      <c r="A7" s="128" t="s">
        <v>2</v>
      </c>
      <c r="B7" s="128" t="s">
        <v>3</v>
      </c>
      <c r="C7" s="128" t="s">
        <v>4</v>
      </c>
      <c r="D7" s="128" t="s">
        <v>5</v>
      </c>
      <c r="E7" s="128" t="s">
        <v>6</v>
      </c>
      <c r="F7" s="128" t="s">
        <v>7</v>
      </c>
      <c r="G7" s="128" t="s">
        <v>8</v>
      </c>
      <c r="H7" s="128" t="s">
        <v>9</v>
      </c>
      <c r="I7" s="128" t="s">
        <v>10</v>
      </c>
      <c r="J7" s="128" t="s">
        <v>279</v>
      </c>
      <c r="K7" s="128" t="s">
        <v>280</v>
      </c>
      <c r="L7" s="128" t="s">
        <v>281</v>
      </c>
      <c r="M7" s="128" t="s">
        <v>282</v>
      </c>
    </row>
    <row r="8" spans="1:13" ht="30" customHeight="1">
      <c r="A8" s="167" t="s">
        <v>46</v>
      </c>
      <c r="B8" s="136"/>
      <c r="C8" s="137"/>
      <c r="D8" s="138" t="s">
        <v>57</v>
      </c>
      <c r="E8" s="137"/>
      <c r="F8" s="137"/>
      <c r="G8" s="137"/>
      <c r="H8" s="137"/>
      <c r="I8" s="139">
        <f>planilha!I8</f>
        <v>15735.5671695416</v>
      </c>
      <c r="J8" s="165">
        <f>I8</f>
        <v>15735.5671695416</v>
      </c>
      <c r="K8" s="13"/>
      <c r="L8" s="13"/>
      <c r="M8" s="13"/>
    </row>
    <row r="9" spans="1:13" ht="15" hidden="1">
      <c r="A9" s="92" t="s">
        <v>45</v>
      </c>
      <c r="B9" s="97" t="s">
        <v>67</v>
      </c>
      <c r="C9" s="131" t="s">
        <v>11</v>
      </c>
      <c r="D9" s="135" t="s">
        <v>66</v>
      </c>
      <c r="E9" s="133" t="s">
        <v>12</v>
      </c>
      <c r="F9" s="93">
        <f>MEMÓRIA!D3</f>
        <v>509.2</v>
      </c>
      <c r="G9" s="94">
        <v>11.68</v>
      </c>
      <c r="H9" s="94">
        <f>G9*H4+G9</f>
        <v>11.68</v>
      </c>
      <c r="I9" s="96">
        <f>H9*F9</f>
        <v>5947.456</v>
      </c>
      <c r="J9" s="13"/>
      <c r="K9" s="13"/>
      <c r="L9" s="13"/>
      <c r="M9" s="13"/>
    </row>
    <row r="10" spans="1:13" ht="45" hidden="1">
      <c r="A10" s="92" t="s">
        <v>51</v>
      </c>
      <c r="B10" s="129" t="s">
        <v>208</v>
      </c>
      <c r="C10" s="131" t="s">
        <v>11</v>
      </c>
      <c r="D10" s="134" t="s">
        <v>207</v>
      </c>
      <c r="E10" s="133" t="s">
        <v>13</v>
      </c>
      <c r="F10" s="93">
        <f>MEMÓRIA!D4</f>
        <v>0.441</v>
      </c>
      <c r="G10" s="94">
        <v>77.88</v>
      </c>
      <c r="H10" s="94">
        <f>G10*H4+G10</f>
        <v>77.88</v>
      </c>
      <c r="I10" s="96">
        <f>H10*F10</f>
        <v>34.345079999999996</v>
      </c>
      <c r="J10" s="13"/>
      <c r="K10" s="13"/>
      <c r="L10" s="13"/>
      <c r="M10" s="13"/>
    </row>
    <row r="11" spans="1:13" s="22" customFormat="1" ht="15" hidden="1">
      <c r="A11" s="92" t="s">
        <v>52</v>
      </c>
      <c r="B11" s="129" t="s">
        <v>17</v>
      </c>
      <c r="C11" s="131" t="s">
        <v>11</v>
      </c>
      <c r="D11" s="114" t="s">
        <v>16</v>
      </c>
      <c r="E11" s="133" t="s">
        <v>18</v>
      </c>
      <c r="F11" s="93">
        <f>MEMÓRIA!D5</f>
        <v>4</v>
      </c>
      <c r="G11" s="94">
        <v>21.59</v>
      </c>
      <c r="H11" s="94">
        <f>G11*H4+G11</f>
        <v>21.59</v>
      </c>
      <c r="I11" s="96">
        <f aca="true" t="shared" si="0" ref="I11:I17">H11*F11</f>
        <v>86.36</v>
      </c>
      <c r="J11" s="13"/>
      <c r="K11" s="13"/>
      <c r="L11" s="13"/>
      <c r="M11" s="13"/>
    </row>
    <row r="12" spans="1:13" s="22" customFormat="1" ht="30" hidden="1">
      <c r="A12" s="92" t="s">
        <v>53</v>
      </c>
      <c r="B12" s="97" t="s">
        <v>204</v>
      </c>
      <c r="C12" s="131" t="s">
        <v>11</v>
      </c>
      <c r="D12" s="134" t="s">
        <v>203</v>
      </c>
      <c r="E12" s="133" t="s">
        <v>190</v>
      </c>
      <c r="F12" s="93">
        <f>MEMÓRIA!D6</f>
        <v>10</v>
      </c>
      <c r="G12" s="94">
        <v>12.95</v>
      </c>
      <c r="H12" s="94">
        <f>G12*H4+G12</f>
        <v>12.95</v>
      </c>
      <c r="I12" s="96">
        <f>H12*F12</f>
        <v>129.5</v>
      </c>
      <c r="J12" s="13"/>
      <c r="K12" s="13"/>
      <c r="L12" s="13"/>
      <c r="M12" s="13"/>
    </row>
    <row r="13" spans="1:13" ht="15" hidden="1">
      <c r="A13" s="92" t="s">
        <v>58</v>
      </c>
      <c r="B13" s="129" t="s">
        <v>21</v>
      </c>
      <c r="C13" s="131" t="s">
        <v>11</v>
      </c>
      <c r="D13" s="114" t="s">
        <v>20</v>
      </c>
      <c r="E13" s="133" t="s">
        <v>18</v>
      </c>
      <c r="F13" s="93">
        <f>MEMÓRIA!D7</f>
        <v>2</v>
      </c>
      <c r="G13" s="94">
        <v>42.59</v>
      </c>
      <c r="H13" s="94">
        <f>G13*H4+G13</f>
        <v>42.59</v>
      </c>
      <c r="I13" s="96">
        <f t="shared" si="0"/>
        <v>85.18</v>
      </c>
      <c r="J13" s="13"/>
      <c r="K13" s="13"/>
      <c r="L13" s="13"/>
      <c r="M13" s="13"/>
    </row>
    <row r="14" spans="1:13" ht="45" hidden="1">
      <c r="A14" s="92"/>
      <c r="B14" s="129" t="s">
        <v>69</v>
      </c>
      <c r="C14" s="131" t="s">
        <v>11</v>
      </c>
      <c r="D14" s="134" t="s">
        <v>68</v>
      </c>
      <c r="E14" s="133" t="s">
        <v>12</v>
      </c>
      <c r="F14" s="93">
        <f>MEMÓRIA!D8</f>
        <v>10.69</v>
      </c>
      <c r="G14" s="94">
        <v>14.2</v>
      </c>
      <c r="H14" s="94">
        <f>G14*H4+G14</f>
        <v>14.2</v>
      </c>
      <c r="I14" s="96">
        <f t="shared" si="0"/>
        <v>151.79799999999997</v>
      </c>
      <c r="J14" s="13"/>
      <c r="K14" s="13"/>
      <c r="L14" s="13"/>
      <c r="M14" s="13"/>
    </row>
    <row r="15" spans="1:13" s="22" customFormat="1" ht="15" hidden="1">
      <c r="A15" s="92" t="s">
        <v>61</v>
      </c>
      <c r="B15" s="140" t="s">
        <v>71</v>
      </c>
      <c r="C15" s="131" t="s">
        <v>11</v>
      </c>
      <c r="D15" s="135" t="s">
        <v>70</v>
      </c>
      <c r="E15" s="133" t="s">
        <v>12</v>
      </c>
      <c r="F15" s="93">
        <f>MEMÓRIA!D9</f>
        <v>78.39999999999999</v>
      </c>
      <c r="G15" s="94">
        <v>30.21</v>
      </c>
      <c r="H15" s="94">
        <f>G15*H4+G15</f>
        <v>30.21</v>
      </c>
      <c r="I15" s="96">
        <f t="shared" si="0"/>
        <v>2368.464</v>
      </c>
      <c r="J15" s="13"/>
      <c r="K15" s="13"/>
      <c r="L15" s="13"/>
      <c r="M15" s="13"/>
    </row>
    <row r="16" spans="1:13" s="22" customFormat="1" ht="15" hidden="1">
      <c r="A16" s="92" t="s">
        <v>136</v>
      </c>
      <c r="B16" s="76" t="s">
        <v>119</v>
      </c>
      <c r="C16" s="131" t="s">
        <v>11</v>
      </c>
      <c r="D16" s="135" t="s">
        <v>118</v>
      </c>
      <c r="E16" s="133" t="s">
        <v>18</v>
      </c>
      <c r="F16" s="93">
        <f>MEMÓRIA!D10</f>
        <v>25</v>
      </c>
      <c r="G16" s="94">
        <v>54.44</v>
      </c>
      <c r="H16" s="94">
        <f>G16*H4+G16</f>
        <v>54.44</v>
      </c>
      <c r="I16" s="96">
        <f>H16*F16</f>
        <v>1361</v>
      </c>
      <c r="J16" s="13"/>
      <c r="K16" s="13"/>
      <c r="L16" s="13"/>
      <c r="M16" s="13"/>
    </row>
    <row r="17" spans="1:13" s="22" customFormat="1" ht="60" hidden="1">
      <c r="A17" s="92" t="s">
        <v>206</v>
      </c>
      <c r="B17" s="129" t="s">
        <v>60</v>
      </c>
      <c r="C17" s="131" t="s">
        <v>11</v>
      </c>
      <c r="D17" s="141" t="s">
        <v>59</v>
      </c>
      <c r="E17" s="133" t="s">
        <v>13</v>
      </c>
      <c r="F17" s="93">
        <f>MEMÓRIA!D11</f>
        <v>19.1456</v>
      </c>
      <c r="G17" s="94">
        <v>94.33</v>
      </c>
      <c r="H17" s="94">
        <f>G17*H4+G17</f>
        <v>94.33</v>
      </c>
      <c r="I17" s="96">
        <f t="shared" si="0"/>
        <v>1806.0044480000001</v>
      </c>
      <c r="J17" s="13"/>
      <c r="K17" s="13"/>
      <c r="L17" s="13"/>
      <c r="M17" s="13"/>
    </row>
    <row r="18" spans="1:13" s="22" customFormat="1" ht="15" hidden="1">
      <c r="A18" s="92" t="s">
        <v>211</v>
      </c>
      <c r="B18" s="97" t="s">
        <v>132</v>
      </c>
      <c r="C18" s="131" t="s">
        <v>11</v>
      </c>
      <c r="D18" s="135" t="s">
        <v>131</v>
      </c>
      <c r="E18" s="133" t="s">
        <v>133</v>
      </c>
      <c r="F18" s="93">
        <f>MEMÓRIA!D12</f>
        <v>32</v>
      </c>
      <c r="G18" s="94">
        <v>27.45</v>
      </c>
      <c r="H18" s="94">
        <f>G18*H4+G18</f>
        <v>27.45</v>
      </c>
      <c r="I18" s="96">
        <f>H18*F18</f>
        <v>878.4</v>
      </c>
      <c r="J18" s="13"/>
      <c r="K18" s="13"/>
      <c r="L18" s="13"/>
      <c r="M18" s="13"/>
    </row>
    <row r="19" spans="1:13" s="22" customFormat="1" ht="32.25" customHeight="1">
      <c r="A19" s="168" t="s">
        <v>50</v>
      </c>
      <c r="B19" s="142"/>
      <c r="C19" s="143"/>
      <c r="D19" s="144" t="s">
        <v>212</v>
      </c>
      <c r="E19" s="123"/>
      <c r="F19" s="124"/>
      <c r="G19" s="125"/>
      <c r="H19" s="126"/>
      <c r="I19" s="145">
        <f>planilha!I19</f>
        <v>624.2152610100001</v>
      </c>
      <c r="J19" s="165">
        <f>I19</f>
        <v>624.2152610100001</v>
      </c>
      <c r="K19" s="13"/>
      <c r="L19" s="13"/>
      <c r="M19" s="13"/>
    </row>
    <row r="20" spans="1:13" s="22" customFormat="1" ht="30" hidden="1">
      <c r="A20" s="92" t="s">
        <v>19</v>
      </c>
      <c r="B20" s="129" t="s">
        <v>214</v>
      </c>
      <c r="C20" s="131" t="s">
        <v>11</v>
      </c>
      <c r="D20" s="134" t="s">
        <v>213</v>
      </c>
      <c r="E20" s="133" t="s">
        <v>12</v>
      </c>
      <c r="F20" s="93">
        <f>MEMÓRIA!D14</f>
        <v>6.27</v>
      </c>
      <c r="G20" s="94">
        <v>81.29</v>
      </c>
      <c r="H20" s="94">
        <f>G20*H4+G20</f>
        <v>81.29</v>
      </c>
      <c r="I20" s="96">
        <f>H20*F20</f>
        <v>509.6883</v>
      </c>
      <c r="J20" s="13"/>
      <c r="K20" s="13"/>
      <c r="L20" s="13"/>
      <c r="M20" s="13"/>
    </row>
    <row r="21" spans="1:13" ht="31.5" customHeight="1">
      <c r="A21" s="168" t="s">
        <v>22</v>
      </c>
      <c r="B21" s="142"/>
      <c r="C21" s="143"/>
      <c r="D21" s="144" t="s">
        <v>72</v>
      </c>
      <c r="E21" s="123"/>
      <c r="F21" s="124"/>
      <c r="G21" s="125"/>
      <c r="H21" s="126"/>
      <c r="I21" s="145">
        <f>planilha!I21</f>
        <v>45960.33878968</v>
      </c>
      <c r="J21" s="165">
        <f>I21</f>
        <v>45960.33878968</v>
      </c>
      <c r="K21" s="13"/>
      <c r="L21" s="13"/>
      <c r="M21" s="13"/>
    </row>
    <row r="22" spans="1:13" s="22" customFormat="1" ht="60" hidden="1">
      <c r="A22" s="92" t="s">
        <v>23</v>
      </c>
      <c r="B22" s="97" t="s">
        <v>74</v>
      </c>
      <c r="C22" s="131" t="s">
        <v>11</v>
      </c>
      <c r="D22" s="134" t="s">
        <v>73</v>
      </c>
      <c r="E22" s="146" t="s">
        <v>12</v>
      </c>
      <c r="F22" s="147">
        <f>MEMÓRIA!D16</f>
        <v>481.88</v>
      </c>
      <c r="G22" s="148">
        <v>46.08</v>
      </c>
      <c r="H22" s="149">
        <f>G22*H4+G22</f>
        <v>46.08</v>
      </c>
      <c r="I22" s="150">
        <f aca="true" t="shared" si="1" ref="I22:I25">H22*F22</f>
        <v>22205.0304</v>
      </c>
      <c r="J22" s="13"/>
      <c r="K22" s="13"/>
      <c r="L22" s="13"/>
      <c r="M22" s="13"/>
    </row>
    <row r="23" spans="1:13" s="22" customFormat="1" ht="15" hidden="1">
      <c r="A23" s="92" t="s">
        <v>84</v>
      </c>
      <c r="B23" s="130" t="s">
        <v>29</v>
      </c>
      <c r="C23" s="131" t="s">
        <v>11</v>
      </c>
      <c r="D23" s="151" t="s">
        <v>27</v>
      </c>
      <c r="E23" s="129" t="s">
        <v>12</v>
      </c>
      <c r="F23" s="36">
        <f>MEMÓRIA!D17</f>
        <v>515.6700000000001</v>
      </c>
      <c r="G23" s="95">
        <v>6.93</v>
      </c>
      <c r="H23" s="95">
        <f>G23*H4+G23</f>
        <v>6.93</v>
      </c>
      <c r="I23" s="95">
        <f t="shared" si="1"/>
        <v>3573.5931000000005</v>
      </c>
      <c r="J23" s="13"/>
      <c r="K23" s="13"/>
      <c r="L23" s="13"/>
      <c r="M23" s="13"/>
    </row>
    <row r="24" spans="1:13" s="22" customFormat="1" ht="15" hidden="1">
      <c r="A24" s="92" t="s">
        <v>85</v>
      </c>
      <c r="B24" s="130" t="s">
        <v>26</v>
      </c>
      <c r="C24" s="131" t="s">
        <v>11</v>
      </c>
      <c r="D24" s="151" t="s">
        <v>25</v>
      </c>
      <c r="E24" s="129" t="s">
        <v>12</v>
      </c>
      <c r="F24" s="36">
        <f>MEMÓRIA!D18</f>
        <v>515.6700000000001</v>
      </c>
      <c r="G24" s="95">
        <v>22.08</v>
      </c>
      <c r="H24" s="95">
        <f>G24*H4+G24</f>
        <v>22.08</v>
      </c>
      <c r="I24" s="95">
        <f t="shared" si="1"/>
        <v>11385.993600000002</v>
      </c>
      <c r="J24" s="13"/>
      <c r="K24" s="13"/>
      <c r="L24" s="13"/>
      <c r="M24" s="13"/>
    </row>
    <row r="25" spans="1:13" s="22" customFormat="1" ht="15" hidden="1">
      <c r="A25" s="92" t="s">
        <v>86</v>
      </c>
      <c r="B25" s="130" t="s">
        <v>30</v>
      </c>
      <c r="C25" s="131" t="s">
        <v>11</v>
      </c>
      <c r="D25" s="151" t="s">
        <v>28</v>
      </c>
      <c r="E25" s="129" t="s">
        <v>12</v>
      </c>
      <c r="F25" s="36">
        <f>MEMÓRIA!D19</f>
        <v>28.30999999999999</v>
      </c>
      <c r="G25" s="95">
        <v>12.83</v>
      </c>
      <c r="H25" s="95">
        <f>G25*H4+G25</f>
        <v>12.83</v>
      </c>
      <c r="I25" s="95">
        <f t="shared" si="1"/>
        <v>363.2172999999999</v>
      </c>
      <c r="J25" s="13"/>
      <c r="K25" s="13"/>
      <c r="L25" s="13"/>
      <c r="M25" s="13"/>
    </row>
    <row r="26" spans="1:13" ht="30.75" customHeight="1">
      <c r="A26" s="168" t="s">
        <v>31</v>
      </c>
      <c r="B26" s="142"/>
      <c r="C26" s="143"/>
      <c r="D26" s="144" t="s">
        <v>75</v>
      </c>
      <c r="E26" s="142"/>
      <c r="F26" s="142"/>
      <c r="G26" s="152"/>
      <c r="H26" s="152"/>
      <c r="I26" s="153">
        <f>planilha!I26</f>
        <v>40939.602268999995</v>
      </c>
      <c r="J26" s="165">
        <f>I26/4</f>
        <v>10234.900567249999</v>
      </c>
      <c r="K26" s="165">
        <f>I26/4</f>
        <v>10234.900567249999</v>
      </c>
      <c r="L26" s="165">
        <f>I26/4</f>
        <v>10234.900567249999</v>
      </c>
      <c r="M26" s="165">
        <f>I26/4</f>
        <v>10234.900567249999</v>
      </c>
    </row>
    <row r="27" spans="1:13" s="22" customFormat="1" ht="15" hidden="1">
      <c r="A27" s="36" t="s">
        <v>32</v>
      </c>
      <c r="B27" s="129" t="s">
        <v>77</v>
      </c>
      <c r="C27" s="131" t="s">
        <v>11</v>
      </c>
      <c r="D27" s="135" t="s">
        <v>76</v>
      </c>
      <c r="E27" s="133" t="s">
        <v>18</v>
      </c>
      <c r="F27" s="93">
        <f>MEMÓRIA!D21</f>
        <v>27</v>
      </c>
      <c r="G27" s="94">
        <v>465.19</v>
      </c>
      <c r="H27" s="95">
        <f>G27*H4+G27</f>
        <v>465.19</v>
      </c>
      <c r="I27" s="96">
        <f aca="true" t="shared" si="2" ref="I27:I34">H27*F27</f>
        <v>12560.13</v>
      </c>
      <c r="J27" s="13"/>
      <c r="K27" s="13"/>
      <c r="L27" s="13"/>
      <c r="M27" s="13"/>
    </row>
    <row r="28" spans="1:13" s="22" customFormat="1" ht="15" hidden="1">
      <c r="A28" s="36" t="s">
        <v>33</v>
      </c>
      <c r="B28" s="129" t="s">
        <v>79</v>
      </c>
      <c r="C28" s="131" t="s">
        <v>11</v>
      </c>
      <c r="D28" s="135" t="s">
        <v>78</v>
      </c>
      <c r="E28" s="133" t="s">
        <v>18</v>
      </c>
      <c r="F28" s="93">
        <f>MEMÓRIA!D22</f>
        <v>7</v>
      </c>
      <c r="G28" s="94">
        <v>511.98</v>
      </c>
      <c r="H28" s="95">
        <f>G28*H4+G28</f>
        <v>511.98</v>
      </c>
      <c r="I28" s="96">
        <f t="shared" si="2"/>
        <v>3583.86</v>
      </c>
      <c r="J28" s="13"/>
      <c r="K28" s="13"/>
      <c r="L28" s="13"/>
      <c r="M28" s="13"/>
    </row>
    <row r="29" spans="1:13" s="22" customFormat="1" ht="15" hidden="1">
      <c r="A29" s="36" t="s">
        <v>54</v>
      </c>
      <c r="B29" s="129" t="s">
        <v>81</v>
      </c>
      <c r="C29" s="131" t="s">
        <v>11</v>
      </c>
      <c r="D29" s="135" t="s">
        <v>80</v>
      </c>
      <c r="E29" s="133" t="s">
        <v>18</v>
      </c>
      <c r="F29" s="93">
        <f>MEMÓRIA!D23</f>
        <v>7</v>
      </c>
      <c r="G29" s="94">
        <v>469</v>
      </c>
      <c r="H29" s="95">
        <f>G29*H4+G29</f>
        <v>469</v>
      </c>
      <c r="I29" s="96">
        <f t="shared" si="2"/>
        <v>3283</v>
      </c>
      <c r="J29" s="13"/>
      <c r="K29" s="13"/>
      <c r="L29" s="13"/>
      <c r="M29" s="13"/>
    </row>
    <row r="30" spans="1:13" s="22" customFormat="1" ht="45" hidden="1">
      <c r="A30" s="36" t="s">
        <v>129</v>
      </c>
      <c r="B30" s="129" t="s">
        <v>83</v>
      </c>
      <c r="C30" s="131" t="s">
        <v>11</v>
      </c>
      <c r="D30" s="134" t="s">
        <v>82</v>
      </c>
      <c r="E30" s="133" t="s">
        <v>18</v>
      </c>
      <c r="F30" s="93">
        <f>MEMÓRIA!D24</f>
        <v>28</v>
      </c>
      <c r="G30" s="94">
        <v>147.01</v>
      </c>
      <c r="H30" s="95">
        <f>G30*H4+G30</f>
        <v>147.01</v>
      </c>
      <c r="I30" s="96">
        <f t="shared" si="2"/>
        <v>4116.28</v>
      </c>
      <c r="J30" s="13"/>
      <c r="K30" s="13"/>
      <c r="L30" s="13"/>
      <c r="M30" s="13"/>
    </row>
    <row r="31" spans="1:13" s="22" customFormat="1" ht="45" hidden="1">
      <c r="A31" s="36" t="s">
        <v>227</v>
      </c>
      <c r="B31" s="129" t="s">
        <v>220</v>
      </c>
      <c r="C31" s="131" t="s">
        <v>11</v>
      </c>
      <c r="D31" s="134" t="s">
        <v>219</v>
      </c>
      <c r="E31" s="133" t="s">
        <v>18</v>
      </c>
      <c r="F31" s="93">
        <f>MEMÓRIA!D25</f>
        <v>2</v>
      </c>
      <c r="G31" s="94">
        <v>1599.02</v>
      </c>
      <c r="H31" s="95">
        <f>G31*H4+G31</f>
        <v>1599.02</v>
      </c>
      <c r="I31" s="96">
        <f t="shared" si="2"/>
        <v>3198.04</v>
      </c>
      <c r="J31" s="13"/>
      <c r="K31" s="13"/>
      <c r="L31" s="13"/>
      <c r="M31" s="13"/>
    </row>
    <row r="32" spans="1:13" s="22" customFormat="1" ht="45" hidden="1">
      <c r="A32" s="36" t="s">
        <v>252</v>
      </c>
      <c r="B32" s="129" t="s">
        <v>222</v>
      </c>
      <c r="C32" s="131" t="s">
        <v>11</v>
      </c>
      <c r="D32" s="134" t="s">
        <v>221</v>
      </c>
      <c r="E32" s="133" t="s">
        <v>18</v>
      </c>
      <c r="F32" s="93">
        <f>MEMÓRIA!D26</f>
        <v>2</v>
      </c>
      <c r="G32" s="94">
        <v>1155.28</v>
      </c>
      <c r="H32" s="95">
        <f>G32*H4+G32</f>
        <v>1155.28</v>
      </c>
      <c r="I32" s="96">
        <f t="shared" si="2"/>
        <v>2310.56</v>
      </c>
      <c r="J32" s="13"/>
      <c r="K32" s="13"/>
      <c r="L32" s="13"/>
      <c r="M32" s="13"/>
    </row>
    <row r="33" spans="1:13" s="22" customFormat="1" ht="45" hidden="1">
      <c r="A33" s="36" t="s">
        <v>253</v>
      </c>
      <c r="B33" s="129" t="s">
        <v>243</v>
      </c>
      <c r="C33" s="131" t="s">
        <v>11</v>
      </c>
      <c r="D33" s="134" t="s">
        <v>240</v>
      </c>
      <c r="E33" s="133" t="s">
        <v>18</v>
      </c>
      <c r="F33" s="93">
        <f>MEMÓRIA!D27</f>
        <v>4</v>
      </c>
      <c r="G33" s="94">
        <v>166.19</v>
      </c>
      <c r="H33" s="95">
        <f>G33*H4+G33</f>
        <v>166.19</v>
      </c>
      <c r="I33" s="96">
        <f t="shared" si="2"/>
        <v>664.76</v>
      </c>
      <c r="J33" s="13"/>
      <c r="K33" s="13"/>
      <c r="L33" s="13"/>
      <c r="M33" s="13"/>
    </row>
    <row r="34" spans="1:13" s="22" customFormat="1" ht="60" hidden="1">
      <c r="A34" s="36" t="s">
        <v>254</v>
      </c>
      <c r="B34" s="129" t="s">
        <v>242</v>
      </c>
      <c r="C34" s="131" t="s">
        <v>11</v>
      </c>
      <c r="D34" s="134" t="s">
        <v>241</v>
      </c>
      <c r="E34" s="133" t="s">
        <v>18</v>
      </c>
      <c r="F34" s="93">
        <f>MEMÓRIA!D28</f>
        <v>4</v>
      </c>
      <c r="G34" s="94">
        <v>209.53</v>
      </c>
      <c r="H34" s="95">
        <f>G34*H4+G34</f>
        <v>209.53</v>
      </c>
      <c r="I34" s="96">
        <f t="shared" si="2"/>
        <v>838.12</v>
      </c>
      <c r="J34" s="13"/>
      <c r="K34" s="13"/>
      <c r="L34" s="13"/>
      <c r="M34" s="13"/>
    </row>
    <row r="35" spans="1:13" s="22" customFormat="1" ht="60" hidden="1">
      <c r="A35" s="36" t="s">
        <v>255</v>
      </c>
      <c r="B35" s="129" t="s">
        <v>247</v>
      </c>
      <c r="C35" s="131" t="s">
        <v>11</v>
      </c>
      <c r="D35" s="134" t="s">
        <v>246</v>
      </c>
      <c r="E35" s="133" t="s">
        <v>190</v>
      </c>
      <c r="F35" s="93">
        <f>MEMÓRIA!D29</f>
        <v>12</v>
      </c>
      <c r="G35" s="94">
        <v>46.74</v>
      </c>
      <c r="H35" s="95">
        <f>G35*H4+G35</f>
        <v>46.74</v>
      </c>
      <c r="I35" s="96">
        <f>H35*F35</f>
        <v>560.88</v>
      </c>
      <c r="J35" s="13"/>
      <c r="K35" s="13"/>
      <c r="L35" s="13"/>
      <c r="M35" s="13"/>
    </row>
    <row r="36" spans="1:13" s="22" customFormat="1" ht="60" hidden="1">
      <c r="A36" s="36" t="s">
        <v>256</v>
      </c>
      <c r="B36" s="129" t="s">
        <v>249</v>
      </c>
      <c r="C36" s="131" t="s">
        <v>11</v>
      </c>
      <c r="D36" s="134" t="s">
        <v>248</v>
      </c>
      <c r="E36" s="133" t="s">
        <v>190</v>
      </c>
      <c r="F36" s="93">
        <f>MEMÓRIA!D30</f>
        <v>12</v>
      </c>
      <c r="G36" s="94">
        <v>79.34</v>
      </c>
      <c r="H36" s="95">
        <f>G36*H4+G36</f>
        <v>79.34</v>
      </c>
      <c r="I36" s="96">
        <f>H36*F36</f>
        <v>952.08</v>
      </c>
      <c r="J36" s="13"/>
      <c r="K36" s="13"/>
      <c r="L36" s="13"/>
      <c r="M36" s="13"/>
    </row>
    <row r="37" spans="1:13" s="22" customFormat="1" ht="45" hidden="1">
      <c r="A37" s="36" t="s">
        <v>257</v>
      </c>
      <c r="B37" s="129" t="s">
        <v>245</v>
      </c>
      <c r="C37" s="131" t="s">
        <v>11</v>
      </c>
      <c r="D37" s="134" t="s">
        <v>244</v>
      </c>
      <c r="E37" s="133" t="s">
        <v>190</v>
      </c>
      <c r="F37" s="93">
        <f>MEMÓRIA!D31</f>
        <v>12</v>
      </c>
      <c r="G37" s="94">
        <v>113.38</v>
      </c>
      <c r="H37" s="95">
        <f>G37*H4+G37</f>
        <v>113.38</v>
      </c>
      <c r="I37" s="96">
        <f>H37*F37</f>
        <v>1360.56</v>
      </c>
      <c r="J37" s="13"/>
      <c r="K37" s="13"/>
      <c r="L37" s="13"/>
      <c r="M37" s="13"/>
    </row>
    <row r="38" spans="1:13" ht="30.75" customHeight="1">
      <c r="A38" s="168" t="s">
        <v>34</v>
      </c>
      <c r="B38" s="142"/>
      <c r="C38" s="143"/>
      <c r="D38" s="144" t="s">
        <v>24</v>
      </c>
      <c r="E38" s="142"/>
      <c r="F38" s="142"/>
      <c r="G38" s="152"/>
      <c r="H38" s="152"/>
      <c r="I38" s="153">
        <f>planilha!I38</f>
        <v>82788.51597293599</v>
      </c>
      <c r="J38" s="13"/>
      <c r="K38" s="13"/>
      <c r="L38" s="165">
        <f>I38/2</f>
        <v>41394.257986467994</v>
      </c>
      <c r="M38" s="165">
        <f>I38/2</f>
        <v>41394.257986467994</v>
      </c>
    </row>
    <row r="39" spans="1:13" ht="45" hidden="1">
      <c r="A39" s="92" t="s">
        <v>35</v>
      </c>
      <c r="B39" s="129" t="s">
        <v>88</v>
      </c>
      <c r="C39" s="132" t="s">
        <v>11</v>
      </c>
      <c r="D39" s="134" t="s">
        <v>162</v>
      </c>
      <c r="E39" s="133" t="s">
        <v>12</v>
      </c>
      <c r="F39" s="93">
        <f>MEMÓRIA!D33</f>
        <v>396.15</v>
      </c>
      <c r="G39" s="94">
        <v>38.67</v>
      </c>
      <c r="H39" s="95">
        <f>G39*H4+G39</f>
        <v>38.67</v>
      </c>
      <c r="I39" s="96">
        <f>H39*F39</f>
        <v>15319.120499999999</v>
      </c>
      <c r="J39" s="13"/>
      <c r="K39" s="13"/>
      <c r="L39" s="13"/>
      <c r="M39" s="13"/>
    </row>
    <row r="40" spans="1:13" ht="15" hidden="1">
      <c r="A40" s="92" t="s">
        <v>36</v>
      </c>
      <c r="B40" s="130" t="s">
        <v>90</v>
      </c>
      <c r="C40" s="132" t="s">
        <v>11</v>
      </c>
      <c r="D40" s="135" t="s">
        <v>89</v>
      </c>
      <c r="E40" s="146" t="s">
        <v>12</v>
      </c>
      <c r="F40" s="147">
        <f>MEMÓRIA!D34</f>
        <v>396.15</v>
      </c>
      <c r="G40" s="154">
        <v>44.31</v>
      </c>
      <c r="H40" s="155">
        <f>G40*H4+G40</f>
        <v>44.31</v>
      </c>
      <c r="I40" s="156">
        <f aca="true" t="shared" si="3" ref="I40:I46">H40*F40</f>
        <v>17553.4065</v>
      </c>
      <c r="J40" s="13"/>
      <c r="K40" s="13"/>
      <c r="L40" s="13"/>
      <c r="M40" s="13"/>
    </row>
    <row r="41" spans="1:13" ht="15" hidden="1">
      <c r="A41" s="92" t="s">
        <v>113</v>
      </c>
      <c r="B41" s="130" t="s">
        <v>92</v>
      </c>
      <c r="C41" s="132" t="s">
        <v>11</v>
      </c>
      <c r="D41" s="135" t="s">
        <v>91</v>
      </c>
      <c r="E41" s="157" t="s">
        <v>12</v>
      </c>
      <c r="F41" s="93">
        <f>MEMÓRIA!D35</f>
        <v>741.6</v>
      </c>
      <c r="G41" s="94">
        <v>37.84</v>
      </c>
      <c r="H41" s="95">
        <f>G41*H4+G41</f>
        <v>37.84</v>
      </c>
      <c r="I41" s="96">
        <f t="shared" si="3"/>
        <v>28062.144000000004</v>
      </c>
      <c r="J41" s="13"/>
      <c r="K41" s="13"/>
      <c r="L41" s="13"/>
      <c r="M41" s="13"/>
    </row>
    <row r="42" spans="1:13" ht="15" hidden="1">
      <c r="A42" s="92" t="s">
        <v>114</v>
      </c>
      <c r="B42" s="130" t="s">
        <v>225</v>
      </c>
      <c r="C42" s="132" t="s">
        <v>11</v>
      </c>
      <c r="D42" s="135" t="s">
        <v>224</v>
      </c>
      <c r="E42" s="157" t="s">
        <v>12</v>
      </c>
      <c r="F42" s="93">
        <f>MEMÓRIA!D36</f>
        <v>6.7124</v>
      </c>
      <c r="G42" s="94">
        <v>92.5</v>
      </c>
      <c r="H42" s="95">
        <f>G42*H4+G42</f>
        <v>92.5</v>
      </c>
      <c r="I42" s="96">
        <f>H42*F42</f>
        <v>620.8969999999999</v>
      </c>
      <c r="J42" s="13"/>
      <c r="K42" s="13"/>
      <c r="L42" s="13"/>
      <c r="M42" s="13"/>
    </row>
    <row r="43" spans="1:13" ht="15" hidden="1">
      <c r="A43" s="92" t="s">
        <v>236</v>
      </c>
      <c r="B43" s="130" t="s">
        <v>229</v>
      </c>
      <c r="C43" s="132" t="s">
        <v>11</v>
      </c>
      <c r="D43" s="135" t="s">
        <v>228</v>
      </c>
      <c r="E43" s="157" t="s">
        <v>13</v>
      </c>
      <c r="F43" s="93">
        <f>MEMÓRIA!D37</f>
        <v>6.986000000000001</v>
      </c>
      <c r="G43" s="94">
        <v>865.08</v>
      </c>
      <c r="H43" s="95">
        <f>G43*H4+G43</f>
        <v>865.08</v>
      </c>
      <c r="I43" s="96">
        <f>H43*F43</f>
        <v>6043.448880000001</v>
      </c>
      <c r="J43" s="13"/>
      <c r="K43" s="13"/>
      <c r="L43" s="13"/>
      <c r="M43" s="13"/>
    </row>
    <row r="44" spans="1:13" ht="33" customHeight="1">
      <c r="A44" s="168" t="s">
        <v>37</v>
      </c>
      <c r="B44" s="142"/>
      <c r="C44" s="143"/>
      <c r="D44" s="144" t="s">
        <v>93</v>
      </c>
      <c r="E44" s="142"/>
      <c r="F44" s="142"/>
      <c r="G44" s="152"/>
      <c r="H44" s="152"/>
      <c r="I44" s="153">
        <f>planilha!I44</f>
        <v>38158.69006305</v>
      </c>
      <c r="J44" s="13"/>
      <c r="K44" s="165">
        <f>I44/2</f>
        <v>19079.345031525</v>
      </c>
      <c r="L44" s="165">
        <f>I44/2</f>
        <v>19079.345031525</v>
      </c>
      <c r="M44" s="13"/>
    </row>
    <row r="45" spans="1:13" ht="45" hidden="1">
      <c r="A45" s="92" t="s">
        <v>38</v>
      </c>
      <c r="B45" s="129" t="s">
        <v>95</v>
      </c>
      <c r="C45" s="132" t="s">
        <v>11</v>
      </c>
      <c r="D45" s="134" t="s">
        <v>94</v>
      </c>
      <c r="E45" s="133" t="s">
        <v>12</v>
      </c>
      <c r="F45" s="93">
        <f>MEMÓRIA!D39</f>
        <v>78.39999999999999</v>
      </c>
      <c r="G45" s="94">
        <v>278.3</v>
      </c>
      <c r="H45" s="95">
        <f>G45*H4+G45</f>
        <v>278.3</v>
      </c>
      <c r="I45" s="96">
        <f t="shared" si="3"/>
        <v>21818.719999999998</v>
      </c>
      <c r="J45" s="13"/>
      <c r="K45" s="13"/>
      <c r="L45" s="13"/>
      <c r="M45" s="13"/>
    </row>
    <row r="46" spans="1:13" ht="15" hidden="1">
      <c r="A46" s="92" t="s">
        <v>39</v>
      </c>
      <c r="B46" s="129" t="s">
        <v>97</v>
      </c>
      <c r="C46" s="132" t="s">
        <v>11</v>
      </c>
      <c r="D46" s="135" t="s">
        <v>96</v>
      </c>
      <c r="E46" s="133" t="s">
        <v>12</v>
      </c>
      <c r="F46" s="93">
        <f>MEMÓRIA!D40</f>
        <v>10.69</v>
      </c>
      <c r="G46" s="118">
        <v>161.35</v>
      </c>
      <c r="H46" s="95">
        <f>G46*H4+G46</f>
        <v>161.35</v>
      </c>
      <c r="I46" s="96">
        <f t="shared" si="3"/>
        <v>1724.8314999999998</v>
      </c>
      <c r="J46" s="13"/>
      <c r="K46" s="13"/>
      <c r="L46" s="13"/>
      <c r="M46" s="13"/>
    </row>
    <row r="47" spans="1:13" ht="15" hidden="1">
      <c r="A47" s="92" t="s">
        <v>144</v>
      </c>
      <c r="B47" s="129" t="s">
        <v>101</v>
      </c>
      <c r="C47" s="132" t="s">
        <v>11</v>
      </c>
      <c r="D47" s="135" t="s">
        <v>100</v>
      </c>
      <c r="E47" s="133" t="s">
        <v>12</v>
      </c>
      <c r="F47" s="93">
        <f>MEMÓRIA!D41</f>
        <v>6.6000000000000005</v>
      </c>
      <c r="G47" s="118">
        <v>246.65</v>
      </c>
      <c r="H47" s="95">
        <f>G47*H4+G47</f>
        <v>246.65</v>
      </c>
      <c r="I47" s="96">
        <f>H47*F47</f>
        <v>1627.89</v>
      </c>
      <c r="J47" s="13"/>
      <c r="K47" s="13"/>
      <c r="L47" s="13"/>
      <c r="M47" s="13"/>
    </row>
    <row r="48" spans="1:13" ht="15" hidden="1">
      <c r="A48" s="92" t="s">
        <v>149</v>
      </c>
      <c r="B48" s="129" t="s">
        <v>99</v>
      </c>
      <c r="C48" s="132" t="s">
        <v>11</v>
      </c>
      <c r="D48" s="135" t="s">
        <v>98</v>
      </c>
      <c r="E48" s="133" t="s">
        <v>18</v>
      </c>
      <c r="F48" s="93">
        <f>MEMÓRIA!D42</f>
        <v>4</v>
      </c>
      <c r="G48" s="118">
        <v>69.05</v>
      </c>
      <c r="H48" s="95">
        <f>G48*H4+G48</f>
        <v>69.05</v>
      </c>
      <c r="I48" s="96">
        <f>H48*F48</f>
        <v>276.2</v>
      </c>
      <c r="J48" s="13"/>
      <c r="K48" s="13"/>
      <c r="L48" s="13"/>
      <c r="M48" s="13"/>
    </row>
    <row r="49" spans="1:13" ht="15" hidden="1">
      <c r="A49" s="92" t="s">
        <v>258</v>
      </c>
      <c r="B49" s="158" t="s">
        <v>233</v>
      </c>
      <c r="C49" s="132" t="s">
        <v>11</v>
      </c>
      <c r="D49" s="135" t="s">
        <v>232</v>
      </c>
      <c r="E49" s="133" t="s">
        <v>18</v>
      </c>
      <c r="F49" s="93">
        <f>MEMÓRIA!D43</f>
        <v>2</v>
      </c>
      <c r="G49" s="118">
        <v>1355.42</v>
      </c>
      <c r="H49" s="95">
        <f>G49*H4+G49</f>
        <v>1355.42</v>
      </c>
      <c r="I49" s="96">
        <f>H49*F49</f>
        <v>2710.84</v>
      </c>
      <c r="J49" s="13"/>
      <c r="K49" s="13"/>
      <c r="L49" s="13"/>
      <c r="M49" s="13"/>
    </row>
    <row r="50" spans="1:13" ht="15" hidden="1">
      <c r="A50" s="92" t="s">
        <v>259</v>
      </c>
      <c r="B50" s="130" t="s">
        <v>235</v>
      </c>
      <c r="C50" s="132" t="s">
        <v>11</v>
      </c>
      <c r="D50" s="135" t="s">
        <v>234</v>
      </c>
      <c r="E50" s="133" t="s">
        <v>18</v>
      </c>
      <c r="F50" s="93">
        <f>MEMÓRIA!D44</f>
        <v>2</v>
      </c>
      <c r="G50" s="118">
        <v>1499.55</v>
      </c>
      <c r="H50" s="95">
        <f>G50*H4+G50</f>
        <v>1499.55</v>
      </c>
      <c r="I50" s="96">
        <f>H50*F50</f>
        <v>2999.1</v>
      </c>
      <c r="J50" s="13"/>
      <c r="K50" s="13"/>
      <c r="L50" s="13"/>
      <c r="M50" s="13"/>
    </row>
    <row r="51" spans="1:13" ht="33" customHeight="1">
      <c r="A51" s="168" t="s">
        <v>108</v>
      </c>
      <c r="B51" s="142"/>
      <c r="C51" s="143"/>
      <c r="D51" s="144" t="s">
        <v>62</v>
      </c>
      <c r="E51" s="142"/>
      <c r="F51" s="142"/>
      <c r="G51" s="152"/>
      <c r="H51" s="152"/>
      <c r="I51" s="153">
        <f>planilha!I51</f>
        <v>140120.9971102204</v>
      </c>
      <c r="J51" s="13"/>
      <c r="K51" s="165">
        <f>I51/3</f>
        <v>46706.99903674013</v>
      </c>
      <c r="L51" s="165">
        <f>I51/3</f>
        <v>46706.99903674013</v>
      </c>
      <c r="M51" s="165">
        <f>I51/3</f>
        <v>46706.99903674013</v>
      </c>
    </row>
    <row r="52" spans="1:13" ht="15" hidden="1">
      <c r="A52" s="92" t="s">
        <v>109</v>
      </c>
      <c r="B52" s="130" t="s">
        <v>103</v>
      </c>
      <c r="C52" s="132" t="s">
        <v>11</v>
      </c>
      <c r="D52" s="135" t="s">
        <v>102</v>
      </c>
      <c r="E52" s="133" t="s">
        <v>12</v>
      </c>
      <c r="F52" s="93">
        <f>MEMÓRIA!D46</f>
        <v>3.5999999999999996</v>
      </c>
      <c r="G52" s="118">
        <v>1002.81</v>
      </c>
      <c r="H52" s="95">
        <f>G52*H4+G52</f>
        <v>1002.81</v>
      </c>
      <c r="I52" s="96">
        <f>H52*F52</f>
        <v>3610.1159999999995</v>
      </c>
      <c r="J52" s="13"/>
      <c r="K52" s="13"/>
      <c r="L52" s="13"/>
      <c r="M52" s="13"/>
    </row>
    <row r="53" spans="1:13" ht="60" hidden="1">
      <c r="A53" s="92" t="s">
        <v>110</v>
      </c>
      <c r="B53" s="129" t="s">
        <v>105</v>
      </c>
      <c r="C53" s="132" t="s">
        <v>11</v>
      </c>
      <c r="D53" s="134" t="s">
        <v>104</v>
      </c>
      <c r="E53" s="133" t="s">
        <v>12</v>
      </c>
      <c r="F53" s="93">
        <f>MEMÓRIA!D47</f>
        <v>46.18</v>
      </c>
      <c r="G53" s="118">
        <v>167.47</v>
      </c>
      <c r="H53" s="95">
        <f>G53*H4+G53</f>
        <v>167.47</v>
      </c>
      <c r="I53" s="96">
        <f>H53*F53</f>
        <v>7733.7645999999995</v>
      </c>
      <c r="J53" s="13"/>
      <c r="K53" s="13"/>
      <c r="L53" s="13"/>
      <c r="M53" s="13"/>
    </row>
    <row r="54" spans="1:13" ht="30" hidden="1">
      <c r="A54" s="92" t="s">
        <v>111</v>
      </c>
      <c r="B54" s="97" t="s">
        <v>142</v>
      </c>
      <c r="C54" s="159" t="s">
        <v>11</v>
      </c>
      <c r="D54" s="134" t="s">
        <v>141</v>
      </c>
      <c r="E54" s="160" t="s">
        <v>12</v>
      </c>
      <c r="F54" s="161">
        <f>MEMÓRIA!D48</f>
        <v>150.10999999999999</v>
      </c>
      <c r="G54" s="162">
        <v>17.4</v>
      </c>
      <c r="H54" s="163">
        <f>G54*H4+G54</f>
        <v>17.4</v>
      </c>
      <c r="I54" s="164">
        <f>H54*F54</f>
        <v>2611.9139999999993</v>
      </c>
      <c r="J54" s="13"/>
      <c r="K54" s="13"/>
      <c r="L54" s="13"/>
      <c r="M54" s="13"/>
    </row>
    <row r="55" spans="1:13" ht="15" hidden="1">
      <c r="A55" s="92" t="s">
        <v>112</v>
      </c>
      <c r="B55" s="129" t="s">
        <v>147</v>
      </c>
      <c r="C55" s="132" t="s">
        <v>148</v>
      </c>
      <c r="D55" s="135" t="s">
        <v>146</v>
      </c>
      <c r="E55" s="133" t="s">
        <v>12</v>
      </c>
      <c r="F55" s="93">
        <f>MEMÓRIA!D49</f>
        <v>1202.8000000000002</v>
      </c>
      <c r="G55" s="118">
        <f>55.05/1.23</f>
        <v>44.75609756097561</v>
      </c>
      <c r="H55" s="95">
        <f>G55*H4+G55</f>
        <v>44.75609756097561</v>
      </c>
      <c r="I55" s="96">
        <f>H55*F55</f>
        <v>53832.63414634147</v>
      </c>
      <c r="J55" s="13"/>
      <c r="K55" s="13"/>
      <c r="L55" s="13"/>
      <c r="M55" s="13"/>
    </row>
    <row r="56" spans="1:13" ht="60" hidden="1">
      <c r="A56" s="92" t="s">
        <v>153</v>
      </c>
      <c r="B56" s="97" t="s">
        <v>276</v>
      </c>
      <c r="C56" s="132" t="s">
        <v>11</v>
      </c>
      <c r="D56" s="134" t="s">
        <v>277</v>
      </c>
      <c r="E56" s="133" t="s">
        <v>12</v>
      </c>
      <c r="F56" s="93">
        <f>MEMÓRIA!D50</f>
        <v>102.19200000000001</v>
      </c>
      <c r="G56" s="118">
        <v>456.24</v>
      </c>
      <c r="H56" s="95">
        <f>G56*H4+G56</f>
        <v>456.24</v>
      </c>
      <c r="I56" s="96">
        <f>H56*F56</f>
        <v>46624.07808000001</v>
      </c>
      <c r="J56" s="13"/>
      <c r="K56" s="13"/>
      <c r="L56" s="13"/>
      <c r="M56" s="13"/>
    </row>
    <row r="57" spans="1:13" ht="29.25" customHeight="1">
      <c r="A57" s="168" t="s">
        <v>158</v>
      </c>
      <c r="B57" s="142"/>
      <c r="C57" s="143"/>
      <c r="D57" s="144" t="s">
        <v>41</v>
      </c>
      <c r="E57" s="142"/>
      <c r="F57" s="142"/>
      <c r="G57" s="152"/>
      <c r="H57" s="152"/>
      <c r="I57" s="153">
        <f>planilha!I57</f>
        <v>205047.97575636246</v>
      </c>
      <c r="J57" s="13"/>
      <c r="K57" s="165">
        <f>I57/3</f>
        <v>68349.32525212082</v>
      </c>
      <c r="L57" s="165">
        <f>I57/3</f>
        <v>68349.32525212082</v>
      </c>
      <c r="M57" s="165">
        <f>I57/3</f>
        <v>68349.32525212082</v>
      </c>
    </row>
    <row r="58" spans="1:13" ht="15" hidden="1">
      <c r="A58" s="92" t="s">
        <v>160</v>
      </c>
      <c r="B58" s="97" t="s">
        <v>43</v>
      </c>
      <c r="C58" s="159" t="s">
        <v>11</v>
      </c>
      <c r="D58" s="135" t="s">
        <v>42</v>
      </c>
      <c r="E58" s="160" t="s">
        <v>12</v>
      </c>
      <c r="F58" s="161">
        <f>MEMÓRIA!D52</f>
        <v>122.04</v>
      </c>
      <c r="G58" s="162">
        <v>46.11</v>
      </c>
      <c r="H58" s="163">
        <f>G58*H4+G58</f>
        <v>46.11</v>
      </c>
      <c r="I58" s="164">
        <f>H58*F58</f>
        <v>5627.2644</v>
      </c>
      <c r="J58" s="13"/>
      <c r="K58" s="13"/>
      <c r="L58" s="13"/>
      <c r="M58" s="13"/>
    </row>
    <row r="59" spans="1:13" ht="15" hidden="1">
      <c r="A59" s="92" t="s">
        <v>161</v>
      </c>
      <c r="B59" s="130" t="s">
        <v>63</v>
      </c>
      <c r="C59" s="132" t="s">
        <v>11</v>
      </c>
      <c r="D59" s="135" t="s">
        <v>138</v>
      </c>
      <c r="E59" s="133" t="s">
        <v>12</v>
      </c>
      <c r="F59" s="93">
        <f>MEMÓRIA!D53</f>
        <v>1795.67</v>
      </c>
      <c r="G59" s="118">
        <v>31.26</v>
      </c>
      <c r="H59" s="95">
        <f>G59*H4+G59</f>
        <v>31.26</v>
      </c>
      <c r="I59" s="96">
        <f>H59*F59</f>
        <v>56132.6442</v>
      </c>
      <c r="J59" s="13"/>
      <c r="K59" s="13"/>
      <c r="L59" s="13"/>
      <c r="M59" s="13"/>
    </row>
    <row r="60" spans="1:13" ht="15" hidden="1">
      <c r="A60" s="92" t="s">
        <v>187</v>
      </c>
      <c r="B60" s="130" t="s">
        <v>63</v>
      </c>
      <c r="C60" s="132" t="s">
        <v>11</v>
      </c>
      <c r="D60" s="135" t="s">
        <v>139</v>
      </c>
      <c r="E60" s="133" t="s">
        <v>12</v>
      </c>
      <c r="F60" s="93">
        <f>MEMÓRIA!D54</f>
        <v>1547.6100000000001</v>
      </c>
      <c r="G60" s="118">
        <v>31.26</v>
      </c>
      <c r="H60" s="95">
        <f>G60*H4+G60</f>
        <v>31.26</v>
      </c>
      <c r="I60" s="96">
        <f>H60*F60</f>
        <v>48378.28860000001</v>
      </c>
      <c r="J60" s="13"/>
      <c r="K60" s="13"/>
      <c r="L60" s="13"/>
      <c r="M60" s="13"/>
    </row>
    <row r="61" spans="1:13" ht="15" hidden="1">
      <c r="A61" s="92" t="s">
        <v>260</v>
      </c>
      <c r="B61" s="130" t="s">
        <v>107</v>
      </c>
      <c r="C61" s="132" t="s">
        <v>11</v>
      </c>
      <c r="D61" s="135" t="s">
        <v>106</v>
      </c>
      <c r="E61" s="133" t="s">
        <v>12</v>
      </c>
      <c r="F61" s="93">
        <f>MEMÓRIA!D55</f>
        <v>161.02</v>
      </c>
      <c r="G61" s="118">
        <v>45.73</v>
      </c>
      <c r="H61" s="95">
        <f>G61*H4+G61</f>
        <v>45.73</v>
      </c>
      <c r="I61" s="96">
        <f>H61*F61</f>
        <v>7363.4446</v>
      </c>
      <c r="J61" s="13"/>
      <c r="K61" s="13"/>
      <c r="L61" s="13"/>
      <c r="M61" s="13"/>
    </row>
    <row r="62" spans="1:13" ht="15" hidden="1">
      <c r="A62" s="92" t="s">
        <v>261</v>
      </c>
      <c r="B62" s="130" t="s">
        <v>152</v>
      </c>
      <c r="C62" s="132" t="s">
        <v>148</v>
      </c>
      <c r="D62" s="135" t="s">
        <v>151</v>
      </c>
      <c r="E62" s="133" t="s">
        <v>18</v>
      </c>
      <c r="F62" s="93">
        <f>MEMÓRIA!D56</f>
        <v>1</v>
      </c>
      <c r="G62" s="118">
        <f>1561.2/1.23</f>
        <v>1269.2682926829268</v>
      </c>
      <c r="H62" s="95">
        <f>G62*H4+G62</f>
        <v>1269.2682926829268</v>
      </c>
      <c r="I62" s="96">
        <f>H62*F62</f>
        <v>1269.2682926829268</v>
      </c>
      <c r="J62" s="13"/>
      <c r="K62" s="13"/>
      <c r="L62" s="13"/>
      <c r="M62" s="13"/>
    </row>
    <row r="63" spans="1:13" ht="45" hidden="1">
      <c r="A63" s="92" t="s">
        <v>262</v>
      </c>
      <c r="B63" s="97" t="s">
        <v>155</v>
      </c>
      <c r="C63" s="132" t="s">
        <v>148</v>
      </c>
      <c r="D63" s="134" t="s">
        <v>154</v>
      </c>
      <c r="E63" s="133" t="s">
        <v>12</v>
      </c>
      <c r="F63" s="93">
        <f>MEMÓRIA!D57</f>
        <v>741.6</v>
      </c>
      <c r="G63" s="118">
        <f>80.7/1.23</f>
        <v>65.60975609756098</v>
      </c>
      <c r="H63" s="95">
        <f>G63*H4+G63</f>
        <v>65.60975609756098</v>
      </c>
      <c r="I63" s="96">
        <f aca="true" t="shared" si="4" ref="I63">H63*F63</f>
        <v>48656.19512195122</v>
      </c>
      <c r="J63" s="13"/>
      <c r="K63" s="13"/>
      <c r="L63" s="13"/>
      <c r="M63" s="13"/>
    </row>
    <row r="64" spans="1:13" ht="31.5" customHeight="1">
      <c r="A64" s="168" t="s">
        <v>263</v>
      </c>
      <c r="B64" s="142"/>
      <c r="C64" s="143"/>
      <c r="D64" s="144" t="s">
        <v>159</v>
      </c>
      <c r="E64" s="142"/>
      <c r="F64" s="142"/>
      <c r="G64" s="152"/>
      <c r="H64" s="152"/>
      <c r="I64" s="153">
        <f>planilha!I64</f>
        <v>30408.693345679025</v>
      </c>
      <c r="J64" s="13"/>
      <c r="K64" s="13"/>
      <c r="L64" s="13"/>
      <c r="M64" s="165">
        <f>I64</f>
        <v>30408.693345679025</v>
      </c>
    </row>
    <row r="65" spans="1:13" ht="15" hidden="1">
      <c r="A65" s="101" t="s">
        <v>264</v>
      </c>
      <c r="B65" s="102"/>
      <c r="C65" s="102"/>
      <c r="D65" s="103" t="s">
        <v>163</v>
      </c>
      <c r="E65" s="104"/>
      <c r="F65" s="105"/>
      <c r="G65" s="106"/>
      <c r="H65" s="107"/>
      <c r="I65" s="108"/>
      <c r="J65" s="119"/>
      <c r="K65" s="119"/>
      <c r="L65" s="119"/>
      <c r="M65" s="119"/>
    </row>
    <row r="66" spans="1:13" ht="15" hidden="1">
      <c r="A66" s="109" t="s">
        <v>265</v>
      </c>
      <c r="B66" s="68" t="s">
        <v>164</v>
      </c>
      <c r="C66" s="110" t="s">
        <v>11</v>
      </c>
      <c r="D66" t="s">
        <v>165</v>
      </c>
      <c r="E66" s="110" t="s">
        <v>166</v>
      </c>
      <c r="F66" s="111">
        <f>MEMÓRIA!D60</f>
        <v>36</v>
      </c>
      <c r="G66" s="108">
        <v>75.39</v>
      </c>
      <c r="H66" s="112">
        <f>G66*H4+G66</f>
        <v>75.39</v>
      </c>
      <c r="I66" s="112">
        <f aca="true" t="shared" si="5" ref="I66:I76">F66*H66</f>
        <v>2714.04</v>
      </c>
      <c r="J66" s="119"/>
      <c r="K66" s="119"/>
      <c r="L66" s="119"/>
      <c r="M66" s="119"/>
    </row>
    <row r="67" spans="1:13" ht="15" hidden="1">
      <c r="A67" s="109" t="s">
        <v>266</v>
      </c>
      <c r="B67" s="24" t="s">
        <v>167</v>
      </c>
      <c r="C67" s="110" t="s">
        <v>11</v>
      </c>
      <c r="D67" s="10" t="s">
        <v>168</v>
      </c>
      <c r="E67" s="110" t="s">
        <v>169</v>
      </c>
      <c r="F67" s="111">
        <f>MEMÓRIA!D61</f>
        <v>1.44</v>
      </c>
      <c r="G67" s="108">
        <v>48.68</v>
      </c>
      <c r="H67" s="112">
        <f>G67*H4+G67</f>
        <v>48.68</v>
      </c>
      <c r="I67" s="112">
        <f t="shared" si="5"/>
        <v>70.0992</v>
      </c>
      <c r="J67" s="119"/>
      <c r="K67" s="119"/>
      <c r="L67" s="119"/>
      <c r="M67" s="119"/>
    </row>
    <row r="68" spans="1:13" ht="15" hidden="1">
      <c r="A68" s="109" t="s">
        <v>267</v>
      </c>
      <c r="B68" s="110" t="s">
        <v>170</v>
      </c>
      <c r="C68" s="110" t="s">
        <v>148</v>
      </c>
      <c r="D68" s="113" t="s">
        <v>171</v>
      </c>
      <c r="E68" s="110" t="s">
        <v>172</v>
      </c>
      <c r="F68" s="111">
        <f>MEMÓRIA!D62</f>
        <v>1.44</v>
      </c>
      <c r="G68" s="108">
        <f>9.26/1.23</f>
        <v>7.528455284552845</v>
      </c>
      <c r="H68" s="112">
        <f>G68*H4+G68</f>
        <v>7.528455284552845</v>
      </c>
      <c r="I68" s="112">
        <f t="shared" si="5"/>
        <v>10.840975609756097</v>
      </c>
      <c r="J68" s="119"/>
      <c r="K68" s="119"/>
      <c r="L68" s="119"/>
      <c r="M68" s="119"/>
    </row>
    <row r="69" spans="1:13" ht="15" hidden="1">
      <c r="A69" s="109" t="s">
        <v>268</v>
      </c>
      <c r="B69" s="109" t="s">
        <v>173</v>
      </c>
      <c r="C69" s="110" t="s">
        <v>148</v>
      </c>
      <c r="D69" s="113" t="s">
        <v>174</v>
      </c>
      <c r="E69" s="110" t="s">
        <v>172</v>
      </c>
      <c r="F69" s="111">
        <f>MEMÓRIA!D63</f>
        <v>1.44</v>
      </c>
      <c r="G69" s="108">
        <f>11.38/1.23</f>
        <v>9.252032520325203</v>
      </c>
      <c r="H69" s="112">
        <f>G69*H4+G69</f>
        <v>9.252032520325203</v>
      </c>
      <c r="I69" s="112">
        <f t="shared" si="5"/>
        <v>13.322926829268292</v>
      </c>
      <c r="J69" s="119"/>
      <c r="K69" s="119"/>
      <c r="L69" s="119"/>
      <c r="M69" s="119"/>
    </row>
    <row r="70" spans="1:13" ht="15" hidden="1">
      <c r="A70" s="109" t="s">
        <v>269</v>
      </c>
      <c r="B70" s="110" t="s">
        <v>175</v>
      </c>
      <c r="C70" s="110" t="s">
        <v>11</v>
      </c>
      <c r="D70" s="113" t="s">
        <v>176</v>
      </c>
      <c r="E70" s="110" t="s">
        <v>172</v>
      </c>
      <c r="F70" s="111">
        <f>MEMÓRIA!D64</f>
        <v>4.8</v>
      </c>
      <c r="G70" s="108">
        <v>98.55</v>
      </c>
      <c r="H70" s="112">
        <f>G70*H4+G70</f>
        <v>98.55</v>
      </c>
      <c r="I70" s="112">
        <f t="shared" si="5"/>
        <v>473.03999999999996</v>
      </c>
      <c r="J70" s="119"/>
      <c r="K70" s="119"/>
      <c r="L70" s="119"/>
      <c r="M70" s="119"/>
    </row>
    <row r="71" spans="1:13" ht="15" hidden="1">
      <c r="A71" s="109" t="s">
        <v>270</v>
      </c>
      <c r="B71" s="109" t="s">
        <v>177</v>
      </c>
      <c r="C71" s="110" t="s">
        <v>148</v>
      </c>
      <c r="D71" s="113" t="s">
        <v>178</v>
      </c>
      <c r="E71" s="110" t="s">
        <v>169</v>
      </c>
      <c r="F71" s="111">
        <f>MEMÓRIA!D65</f>
        <v>1.44</v>
      </c>
      <c r="G71" s="108">
        <f>671.35/1.23</f>
        <v>545.8130081300814</v>
      </c>
      <c r="H71" s="112">
        <f>G71*H4+G71</f>
        <v>545.8130081300814</v>
      </c>
      <c r="I71" s="112">
        <f t="shared" si="5"/>
        <v>785.9707317073171</v>
      </c>
      <c r="J71" s="119"/>
      <c r="K71" s="119"/>
      <c r="L71" s="119"/>
      <c r="M71" s="119"/>
    </row>
    <row r="72" spans="1:13" ht="15" hidden="1">
      <c r="A72" s="109" t="s">
        <v>271</v>
      </c>
      <c r="B72" s="24" t="s">
        <v>179</v>
      </c>
      <c r="C72" s="110" t="s">
        <v>11</v>
      </c>
      <c r="D72" t="s">
        <v>180</v>
      </c>
      <c r="E72" s="110" t="s">
        <v>181</v>
      </c>
      <c r="F72" s="111">
        <f>MEMÓRIA!D66</f>
        <v>144</v>
      </c>
      <c r="G72" s="108">
        <v>11.46</v>
      </c>
      <c r="H72" s="112">
        <f>G72*H4+G72</f>
        <v>11.46</v>
      </c>
      <c r="I72" s="112">
        <f t="shared" si="5"/>
        <v>1650.2400000000002</v>
      </c>
      <c r="J72" s="119"/>
      <c r="K72" s="119"/>
      <c r="L72" s="119"/>
      <c r="M72" s="119"/>
    </row>
    <row r="73" spans="1:13" ht="15" hidden="1">
      <c r="A73" s="101" t="s">
        <v>272</v>
      </c>
      <c r="B73" s="105"/>
      <c r="C73" s="105"/>
      <c r="D73" s="103" t="s">
        <v>182</v>
      </c>
      <c r="E73" s="105"/>
      <c r="F73" s="104"/>
      <c r="G73" s="106"/>
      <c r="H73" s="107"/>
      <c r="I73" s="112"/>
      <c r="J73" s="119"/>
      <c r="K73" s="119"/>
      <c r="L73" s="119"/>
      <c r="M73" s="119"/>
    </row>
    <row r="74" spans="1:13" ht="15" hidden="1">
      <c r="A74" s="109" t="s">
        <v>273</v>
      </c>
      <c r="B74" s="109" t="s">
        <v>183</v>
      </c>
      <c r="C74" s="109" t="s">
        <v>11</v>
      </c>
      <c r="D74" s="114" t="s">
        <v>184</v>
      </c>
      <c r="E74" s="110" t="s">
        <v>14</v>
      </c>
      <c r="F74" s="111">
        <v>1</v>
      </c>
      <c r="G74" s="108">
        <v>17867.95</v>
      </c>
      <c r="H74" s="112">
        <f>G74*H4+G74</f>
        <v>17867.95</v>
      </c>
      <c r="I74" s="112">
        <f t="shared" si="5"/>
        <v>17867.95</v>
      </c>
      <c r="J74" s="119"/>
      <c r="K74" s="119"/>
      <c r="L74" s="119"/>
      <c r="M74" s="119"/>
    </row>
    <row r="75" spans="1:13" ht="15" hidden="1">
      <c r="A75" s="101" t="s">
        <v>274</v>
      </c>
      <c r="B75" s="105"/>
      <c r="C75" s="105"/>
      <c r="D75" s="103" t="s">
        <v>75</v>
      </c>
      <c r="E75" s="105"/>
      <c r="F75" s="104"/>
      <c r="G75" s="106"/>
      <c r="H75" s="107"/>
      <c r="I75" s="112"/>
      <c r="J75" s="119"/>
      <c r="K75" s="119"/>
      <c r="L75" s="119"/>
      <c r="M75" s="119"/>
    </row>
    <row r="76" spans="1:13" ht="15" hidden="1">
      <c r="A76" s="109" t="s">
        <v>275</v>
      </c>
      <c r="B76" s="115" t="s">
        <v>185</v>
      </c>
      <c r="C76" s="110" t="s">
        <v>148</v>
      </c>
      <c r="D76" s="116" t="s">
        <v>186</v>
      </c>
      <c r="E76" s="110" t="s">
        <v>166</v>
      </c>
      <c r="F76" s="111">
        <v>20</v>
      </c>
      <c r="G76" s="108">
        <v>62.2</v>
      </c>
      <c r="H76" s="112">
        <f>G76*H4+G76</f>
        <v>62.2</v>
      </c>
      <c r="I76" s="112">
        <f t="shared" si="5"/>
        <v>1244</v>
      </c>
      <c r="J76" s="119"/>
      <c r="K76" s="119"/>
      <c r="L76" s="119"/>
      <c r="M76" s="119"/>
    </row>
    <row r="77" spans="1:13" ht="29.25" customHeight="1">
      <c r="A77" s="62"/>
      <c r="B77" s="53"/>
      <c r="C77" s="38"/>
      <c r="D77" s="39"/>
      <c r="E77" s="172" t="s">
        <v>44</v>
      </c>
      <c r="F77" s="172"/>
      <c r="G77" s="172"/>
      <c r="H77" s="172"/>
      <c r="I77" s="40">
        <f>I64+I57+I51+I44+I38+I26+I21+I19+I8</f>
        <v>599784.5957374795</v>
      </c>
      <c r="J77" s="166">
        <f>SUM(J8:J64)</f>
        <v>72555.02178748159</v>
      </c>
      <c r="K77" s="166">
        <f>SUM(K8:K64)</f>
        <v>144370.56988763594</v>
      </c>
      <c r="L77" s="166">
        <f>SUM(L8:L64)</f>
        <v>185764.82787410394</v>
      </c>
      <c r="M77" s="166">
        <f>SUM(M8:M64)</f>
        <v>197094.176188258</v>
      </c>
    </row>
    <row r="79" spans="5:13" ht="15">
      <c r="E79" s="169"/>
      <c r="F79" s="169"/>
      <c r="G79" s="169"/>
      <c r="H79" s="169"/>
      <c r="I79" s="169"/>
      <c r="K79" s="169" t="s">
        <v>251</v>
      </c>
      <c r="L79" s="169"/>
      <c r="M79" s="169"/>
    </row>
    <row r="80" spans="5:9" ht="15">
      <c r="E80" s="119"/>
      <c r="F80" s="119"/>
      <c r="G80" s="119"/>
      <c r="H80" s="119"/>
      <c r="I80" s="117"/>
    </row>
    <row r="82" spans="3:13" ht="15">
      <c r="C82"/>
      <c r="E82" s="169"/>
      <c r="F82" s="169"/>
      <c r="G82" s="169"/>
      <c r="H82" s="169"/>
      <c r="I82" s="169"/>
      <c r="K82" s="169" t="s">
        <v>47</v>
      </c>
      <c r="L82" s="169"/>
      <c r="M82" s="169"/>
    </row>
    <row r="83" spans="3:13" ht="15">
      <c r="C83"/>
      <c r="E83" s="169"/>
      <c r="F83" s="169"/>
      <c r="G83" s="169"/>
      <c r="H83" s="169"/>
      <c r="I83" s="169"/>
      <c r="K83" s="169" t="s">
        <v>48</v>
      </c>
      <c r="L83" s="169"/>
      <c r="M83" s="169"/>
    </row>
    <row r="84" spans="3:13" ht="15">
      <c r="C84"/>
      <c r="E84" s="169"/>
      <c r="F84" s="169"/>
      <c r="G84" s="169"/>
      <c r="H84" s="169"/>
      <c r="I84" s="169"/>
      <c r="K84" s="169" t="s">
        <v>49</v>
      </c>
      <c r="L84" s="169"/>
      <c r="M84" s="169"/>
    </row>
    <row r="85" spans="3:9" ht="15">
      <c r="C85"/>
      <c r="E85" s="169"/>
      <c r="F85" s="169"/>
      <c r="G85" s="169"/>
      <c r="H85" s="169"/>
      <c r="I85" s="169"/>
    </row>
  </sheetData>
  <mergeCells count="13">
    <mergeCell ref="A2:D2"/>
    <mergeCell ref="G2:G3"/>
    <mergeCell ref="E77:H77"/>
    <mergeCell ref="E79:I79"/>
    <mergeCell ref="E82:I82"/>
    <mergeCell ref="A4:M5"/>
    <mergeCell ref="E84:I84"/>
    <mergeCell ref="E85:I85"/>
    <mergeCell ref="K79:M79"/>
    <mergeCell ref="K82:M82"/>
    <mergeCell ref="K83:M83"/>
    <mergeCell ref="K84:M84"/>
    <mergeCell ref="E83:I83"/>
  </mergeCells>
  <conditionalFormatting sqref="E9:I10 I21:I22 E21:G22 E27:G27 I27 C9:C10 I45:I50 A45:A50 H11:I13 E14:I18 C14:C18 A52:A56 I52:I56 E52:G56 I58:I61 A58:A61 C60:C61 E60:G61 E65:G76 C65:C76 A65:A76 I65:I76 A39:A43 I40:I43 E41:G43 A9:A18 A20:A27 C20:C27 E20:I20">
    <cfRule type="expression" priority="64" dxfId="1">
      <formula>IF($L9="I",TRUE,FALSE)</formula>
    </cfRule>
    <cfRule type="expression" priority="65" dxfId="0">
      <formula>IF($L9="T",TRUE,FALSE)</formula>
    </cfRule>
  </conditionalFormatting>
  <conditionalFormatting sqref="C9:C10 C14:C18 C60:C61 C65:C76 C20:C27">
    <cfRule type="expression" priority="63" dxfId="76">
      <formula>IF($L9="I",TRUE,FALSE)</formula>
    </cfRule>
  </conditionalFormatting>
  <conditionalFormatting sqref="I39 E39:G40">
    <cfRule type="expression" priority="61" dxfId="1">
      <formula>IF($L39="I",TRUE,FALSE)</formula>
    </cfRule>
    <cfRule type="expression" priority="62" dxfId="0">
      <formula>IF($L39="T",TRUE,FALSE)</formula>
    </cfRule>
  </conditionalFormatting>
  <conditionalFormatting sqref="A38">
    <cfRule type="expression" priority="59" dxfId="1">
      <formula>IF($L38="I",TRUE,FALSE)</formula>
    </cfRule>
    <cfRule type="expression" priority="60" dxfId="0">
      <formula>IF($L38="T",TRUE,FALSE)</formula>
    </cfRule>
  </conditionalFormatting>
  <conditionalFormatting sqref="C38">
    <cfRule type="expression" priority="57" dxfId="1">
      <formula>IF($L38="I",TRUE,FALSE)</formula>
    </cfRule>
    <cfRule type="expression" priority="58" dxfId="0">
      <formula>IF($L38="T",TRUE,FALSE)</formula>
    </cfRule>
  </conditionalFormatting>
  <conditionalFormatting sqref="C38">
    <cfRule type="expression" priority="56" dxfId="76">
      <formula>IF($L38="I",TRUE,FALSE)</formula>
    </cfRule>
  </conditionalFormatting>
  <conditionalFormatting sqref="E45:G45">
    <cfRule type="expression" priority="54" dxfId="1">
      <formula>IF($L45="I",TRUE,FALSE)</formula>
    </cfRule>
    <cfRule type="expression" priority="55" dxfId="0">
      <formula>IF($L45="T",TRUE,FALSE)</formula>
    </cfRule>
  </conditionalFormatting>
  <conditionalFormatting sqref="F46:G50 F58:G59">
    <cfRule type="expression" priority="52" dxfId="1">
      <formula>IF($L46="I",TRUE,FALSE)</formula>
    </cfRule>
    <cfRule type="expression" priority="53" dxfId="0">
      <formula>IF($L46="T",TRUE,FALSE)</formula>
    </cfRule>
  </conditionalFormatting>
  <conditionalFormatting sqref="C58:C59">
    <cfRule type="expression" priority="50" dxfId="1">
      <formula>IF($L58="I",TRUE,FALSE)</formula>
    </cfRule>
    <cfRule type="expression" priority="51" dxfId="0">
      <formula>IF($L58="T",TRUE,FALSE)</formula>
    </cfRule>
  </conditionalFormatting>
  <conditionalFormatting sqref="C58:C59">
    <cfRule type="expression" priority="49" dxfId="76">
      <formula>IF($L58="I",TRUE,FALSE)</formula>
    </cfRule>
  </conditionalFormatting>
  <conditionalFormatting sqref="E46:E50 E58:E59">
    <cfRule type="expression" priority="47" dxfId="1">
      <formula>IF($L46="I",TRUE,FALSE)</formula>
    </cfRule>
    <cfRule type="expression" priority="48" dxfId="0">
      <formula>IF($L46="T",TRUE,FALSE)</formula>
    </cfRule>
  </conditionalFormatting>
  <conditionalFormatting sqref="C44">
    <cfRule type="expression" priority="42" dxfId="76">
      <formula>IF($L44="I",TRUE,FALSE)</formula>
    </cfRule>
  </conditionalFormatting>
  <conditionalFormatting sqref="A44">
    <cfRule type="expression" priority="45" dxfId="1">
      <formula>IF($L44="I",TRUE,FALSE)</formula>
    </cfRule>
    <cfRule type="expression" priority="46" dxfId="0">
      <formula>IF($L44="T",TRUE,FALSE)</formula>
    </cfRule>
  </conditionalFormatting>
  <conditionalFormatting sqref="C44">
    <cfRule type="expression" priority="43" dxfId="1">
      <formula>IF($L44="I",TRUE,FALSE)</formula>
    </cfRule>
    <cfRule type="expression" priority="44" dxfId="0">
      <formula>IF($L44="T",TRUE,FALSE)</formula>
    </cfRule>
  </conditionalFormatting>
  <conditionalFormatting sqref="C57">
    <cfRule type="expression" priority="37" dxfId="76">
      <formula>IF($L57="I",TRUE,FALSE)</formula>
    </cfRule>
  </conditionalFormatting>
  <conditionalFormatting sqref="A57">
    <cfRule type="expression" priority="40" dxfId="1">
      <formula>IF($L57="I",TRUE,FALSE)</formula>
    </cfRule>
    <cfRule type="expression" priority="41" dxfId="0">
      <formula>IF($L57="T",TRUE,FALSE)</formula>
    </cfRule>
  </conditionalFormatting>
  <conditionalFormatting sqref="C57">
    <cfRule type="expression" priority="38" dxfId="1">
      <formula>IF($L57="I",TRUE,FALSE)</formula>
    </cfRule>
    <cfRule type="expression" priority="39" dxfId="0">
      <formula>IF($L57="T",TRUE,FALSE)</formula>
    </cfRule>
  </conditionalFormatting>
  <conditionalFormatting sqref="C11:C12 E11:G12">
    <cfRule type="expression" priority="35" dxfId="1">
      <formula>IF($L11="I",TRUE,FALSE)</formula>
    </cfRule>
    <cfRule type="expression" priority="36" dxfId="0">
      <formula>IF($L11="T",TRUE,FALSE)</formula>
    </cfRule>
  </conditionalFormatting>
  <conditionalFormatting sqref="C11:C12">
    <cfRule type="expression" priority="34" dxfId="76">
      <formula>IF($L11="I",TRUE,FALSE)</formula>
    </cfRule>
  </conditionalFormatting>
  <conditionalFormatting sqref="C13 E13:G13">
    <cfRule type="expression" priority="32" dxfId="1">
      <formula>IF($L13="I",TRUE,FALSE)</formula>
    </cfRule>
    <cfRule type="expression" priority="33" dxfId="0">
      <formula>IF($L13="T",TRUE,FALSE)</formula>
    </cfRule>
  </conditionalFormatting>
  <conditionalFormatting sqref="C13">
    <cfRule type="expression" priority="31" dxfId="76">
      <formula>IF($L13="I",TRUE,FALSE)</formula>
    </cfRule>
  </conditionalFormatting>
  <conditionalFormatting sqref="E28:G28 I28 A28 C28">
    <cfRule type="expression" priority="29" dxfId="1">
      <formula>IF($L28="I",TRUE,FALSE)</formula>
    </cfRule>
    <cfRule type="expression" priority="30" dxfId="0">
      <formula>IF($L28="T",TRUE,FALSE)</formula>
    </cfRule>
  </conditionalFormatting>
  <conditionalFormatting sqref="C28">
    <cfRule type="expression" priority="28" dxfId="76">
      <formula>IF($L28="I",TRUE,FALSE)</formula>
    </cfRule>
  </conditionalFormatting>
  <conditionalFormatting sqref="I29:I37 A29:A37 E29:G37 C29:C37">
    <cfRule type="expression" priority="26" dxfId="1">
      <formula>IF($L29="I",TRUE,FALSE)</formula>
    </cfRule>
    <cfRule type="expression" priority="27" dxfId="0">
      <formula>IF($L29="T",TRUE,FALSE)</formula>
    </cfRule>
  </conditionalFormatting>
  <conditionalFormatting sqref="C29:C37">
    <cfRule type="expression" priority="25" dxfId="76">
      <formula>IF($L29="I",TRUE,FALSE)</formula>
    </cfRule>
  </conditionalFormatting>
  <conditionalFormatting sqref="C51">
    <cfRule type="expression" priority="20" dxfId="76">
      <formula>IF($L51="I",TRUE,FALSE)</formula>
    </cfRule>
  </conditionalFormatting>
  <conditionalFormatting sqref="A51">
    <cfRule type="expression" priority="23" dxfId="1">
      <formula>IF($L51="I",TRUE,FALSE)</formula>
    </cfRule>
    <cfRule type="expression" priority="24" dxfId="0">
      <formula>IF($L51="T",TRUE,FALSE)</formula>
    </cfRule>
  </conditionalFormatting>
  <conditionalFormatting sqref="C51">
    <cfRule type="expression" priority="21" dxfId="1">
      <formula>IF($L51="I",TRUE,FALSE)</formula>
    </cfRule>
    <cfRule type="expression" priority="22" dxfId="0">
      <formula>IF($L51="T",TRUE,FALSE)</formula>
    </cfRule>
  </conditionalFormatting>
  <conditionalFormatting sqref="C64">
    <cfRule type="expression" priority="15" dxfId="76">
      <formula>IF($L64="I",TRUE,FALSE)</formula>
    </cfRule>
  </conditionalFormatting>
  <conditionalFormatting sqref="A64">
    <cfRule type="expression" priority="18" dxfId="1">
      <formula>IF($L64="I",TRUE,FALSE)</formula>
    </cfRule>
    <cfRule type="expression" priority="19" dxfId="0">
      <formula>IF($L64="T",TRUE,FALSE)</formula>
    </cfRule>
  </conditionalFormatting>
  <conditionalFormatting sqref="C64">
    <cfRule type="expression" priority="16" dxfId="1">
      <formula>IF($L64="I",TRUE,FALSE)</formula>
    </cfRule>
    <cfRule type="expression" priority="17" dxfId="0">
      <formula>IF($L64="T",TRUE,FALSE)</formula>
    </cfRule>
  </conditionalFormatting>
  <conditionalFormatting sqref="I62:I63">
    <cfRule type="expression" priority="13" dxfId="1">
      <formula>IF($L62="I",TRUE,FALSE)</formula>
    </cfRule>
    <cfRule type="expression" priority="14" dxfId="0">
      <formula>IF($L62="T",TRUE,FALSE)</formula>
    </cfRule>
  </conditionalFormatting>
  <conditionalFormatting sqref="A62:A63">
    <cfRule type="expression" priority="11" dxfId="1">
      <formula>IF($L62="I",TRUE,FALSE)</formula>
    </cfRule>
    <cfRule type="expression" priority="12" dxfId="0">
      <formula>IF($L62="T",TRUE,FALSE)</formula>
    </cfRule>
  </conditionalFormatting>
  <conditionalFormatting sqref="F62:G63">
    <cfRule type="expression" priority="9" dxfId="1">
      <formula>IF($L62="I",TRUE,FALSE)</formula>
    </cfRule>
    <cfRule type="expression" priority="10" dxfId="0">
      <formula>IF($L62="T",TRUE,FALSE)</formula>
    </cfRule>
  </conditionalFormatting>
  <conditionalFormatting sqref="C62:C63">
    <cfRule type="expression" priority="7" dxfId="1">
      <formula>IF($L62="I",TRUE,FALSE)</formula>
    </cfRule>
    <cfRule type="expression" priority="8" dxfId="0">
      <formula>IF($L62="T",TRUE,FALSE)</formula>
    </cfRule>
  </conditionalFormatting>
  <conditionalFormatting sqref="C62:C63">
    <cfRule type="expression" priority="6" dxfId="76">
      <formula>IF($L62="I",TRUE,FALSE)</formula>
    </cfRule>
  </conditionalFormatting>
  <conditionalFormatting sqref="E62:E63">
    <cfRule type="expression" priority="4" dxfId="1">
      <formula>IF($L62="I",TRUE,FALSE)</formula>
    </cfRule>
    <cfRule type="expression" priority="5" dxfId="0">
      <formula>IF($L62="T",TRUE,FALSE)</formula>
    </cfRule>
  </conditionalFormatting>
  <conditionalFormatting sqref="I19 E19:G19 A19 C19">
    <cfRule type="expression" priority="2" dxfId="1">
      <formula>IF($L19="I",TRUE,FALSE)</formula>
    </cfRule>
    <cfRule type="expression" priority="3" dxfId="0">
      <formula>IF($L19="T",TRUE,FALSE)</formula>
    </cfRule>
  </conditionalFormatting>
  <conditionalFormatting sqref="C19">
    <cfRule type="expression" priority="1" dxfId="76">
      <formula>IF($L19="I",TRUE,FALSE)</formula>
    </cfRule>
  </conditionalFormatting>
  <printOptions/>
  <pageMargins left="0.5905511811023623" right="0.5905511811023623" top="1.3779527559055118" bottom="0.7874015748031497" header="0.31496062992125984" footer="0.31496062992125984"/>
  <pageSetup fitToHeight="2" fitToWidth="1" horizontalDpi="600" verticalDpi="600" orientation="portrait" paperSize="9" scale="71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="110" zoomScaleNormal="110" workbookViewId="0" topLeftCell="A49">
      <selection activeCell="K56" sqref="K56"/>
    </sheetView>
  </sheetViews>
  <sheetFormatPr defaultColWidth="9.140625" defaultRowHeight="15"/>
  <cols>
    <col min="1" max="1" width="7.00390625" style="80" customWidth="1"/>
    <col min="2" max="2" width="11.00390625" style="80" customWidth="1"/>
    <col min="3" max="3" width="10.8515625" style="80" customWidth="1"/>
    <col min="4" max="4" width="54.8515625" style="0" customWidth="1"/>
    <col min="6" max="6" width="9.140625" style="0" customWidth="1"/>
    <col min="7" max="7" width="13.421875" style="0" customWidth="1"/>
    <col min="8" max="8" width="16.140625" style="0" customWidth="1"/>
    <col min="9" max="9" width="17.8515625" style="0" customWidth="1"/>
    <col min="11" max="11" width="12.28125" style="0" bestFit="1" customWidth="1"/>
  </cols>
  <sheetData>
    <row r="1" spans="1:10" ht="15">
      <c r="A1" s="61"/>
      <c r="B1" s="63"/>
      <c r="C1" s="23"/>
      <c r="D1" s="2"/>
      <c r="E1" s="1"/>
      <c r="F1" s="1"/>
      <c r="G1" s="3"/>
      <c r="H1" s="4"/>
      <c r="I1" s="4"/>
      <c r="J1" s="4"/>
    </row>
    <row r="2" spans="1:10" ht="15.75">
      <c r="A2" s="170" t="s">
        <v>64</v>
      </c>
      <c r="B2" s="170"/>
      <c r="C2" s="170"/>
      <c r="D2" s="170"/>
      <c r="E2" s="5"/>
      <c r="F2" s="5"/>
      <c r="G2" s="171" t="s">
        <v>40</v>
      </c>
      <c r="H2" s="41" t="s">
        <v>56</v>
      </c>
      <c r="I2" s="33"/>
      <c r="J2" s="30"/>
    </row>
    <row r="3" spans="1:10" ht="15">
      <c r="A3" s="69" t="s">
        <v>65</v>
      </c>
      <c r="B3" s="69"/>
      <c r="C3" s="69"/>
      <c r="D3" s="69"/>
      <c r="E3" s="6"/>
      <c r="F3" s="7"/>
      <c r="G3" s="171"/>
      <c r="H3" s="42" t="s">
        <v>55</v>
      </c>
      <c r="I3" s="33"/>
      <c r="J3" s="30"/>
    </row>
    <row r="4" spans="1:10" ht="15">
      <c r="A4" s="23"/>
      <c r="B4" s="63"/>
      <c r="C4" s="23"/>
      <c r="D4" s="1"/>
      <c r="E4" s="1"/>
      <c r="F4" s="8"/>
      <c r="G4" s="9" t="s">
        <v>1</v>
      </c>
      <c r="H4" s="32">
        <v>0.2247</v>
      </c>
      <c r="I4" s="1"/>
      <c r="J4" s="31"/>
    </row>
    <row r="5" spans="1:10" ht="15">
      <c r="A5" s="23"/>
      <c r="B5" s="63"/>
      <c r="C5" s="23"/>
      <c r="D5" s="1"/>
      <c r="E5" s="1"/>
      <c r="F5" s="8"/>
      <c r="G5" s="9" t="s">
        <v>0</v>
      </c>
      <c r="H5" s="34">
        <v>44927</v>
      </c>
      <c r="I5" s="1"/>
      <c r="J5" s="31"/>
    </row>
    <row r="7" spans="1:9" ht="15">
      <c r="A7" s="50" t="s">
        <v>2</v>
      </c>
      <c r="B7" s="64" t="s">
        <v>3</v>
      </c>
      <c r="C7" s="50" t="s">
        <v>4</v>
      </c>
      <c r="D7" s="50" t="s">
        <v>5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</row>
    <row r="8" spans="1:9" ht="15">
      <c r="A8" s="51" t="s">
        <v>46</v>
      </c>
      <c r="B8" s="65"/>
      <c r="C8" s="52"/>
      <c r="D8" s="86" t="s">
        <v>57</v>
      </c>
      <c r="E8" s="52"/>
      <c r="F8" s="52"/>
      <c r="G8" s="52"/>
      <c r="H8" s="52"/>
      <c r="I8" s="79">
        <f>SUM(I9:I18)</f>
        <v>15735.5671695416</v>
      </c>
    </row>
    <row r="9" spans="1:9" ht="15">
      <c r="A9" s="17" t="s">
        <v>45</v>
      </c>
      <c r="B9" s="68" t="s">
        <v>67</v>
      </c>
      <c r="C9" s="17" t="s">
        <v>11</v>
      </c>
      <c r="D9" t="s">
        <v>66</v>
      </c>
      <c r="E9" s="17" t="s">
        <v>12</v>
      </c>
      <c r="F9" s="18">
        <f>MEMÓRIA!D3</f>
        <v>509.2</v>
      </c>
      <c r="G9" s="19">
        <v>11.68</v>
      </c>
      <c r="H9" s="19">
        <f>G9*H4+G9</f>
        <v>14.304496</v>
      </c>
      <c r="I9" s="21">
        <f>H9*F9</f>
        <v>7283.8493632</v>
      </c>
    </row>
    <row r="10" spans="1:9" ht="30">
      <c r="A10" s="17" t="s">
        <v>51</v>
      </c>
      <c r="B10" s="24" t="s">
        <v>208</v>
      </c>
      <c r="C10" s="17" t="s">
        <v>11</v>
      </c>
      <c r="D10" s="12" t="s">
        <v>207</v>
      </c>
      <c r="E10" s="17" t="s">
        <v>13</v>
      </c>
      <c r="F10" s="18">
        <f>MEMÓRIA!D4</f>
        <v>0.441</v>
      </c>
      <c r="G10" s="19">
        <v>77.88</v>
      </c>
      <c r="H10" s="19">
        <f>G10*H4+G10</f>
        <v>95.37963599999999</v>
      </c>
      <c r="I10" s="21">
        <f>H10*F10</f>
        <v>42.062419475999995</v>
      </c>
    </row>
    <row r="11" spans="1:9" s="22" customFormat="1" ht="15">
      <c r="A11" s="17" t="s">
        <v>52</v>
      </c>
      <c r="B11" s="24" t="s">
        <v>17</v>
      </c>
      <c r="C11" s="17" t="s">
        <v>11</v>
      </c>
      <c r="D11" s="15" t="s">
        <v>16</v>
      </c>
      <c r="E11" s="17" t="s">
        <v>18</v>
      </c>
      <c r="F11" s="18">
        <f>MEMÓRIA!D5</f>
        <v>4</v>
      </c>
      <c r="G11" s="19">
        <v>21.59</v>
      </c>
      <c r="H11" s="19">
        <f>G11*H4+G11</f>
        <v>26.441273</v>
      </c>
      <c r="I11" s="21">
        <f aca="true" t="shared" si="0" ref="I11:I17">H11*F11</f>
        <v>105.765092</v>
      </c>
    </row>
    <row r="12" spans="1:9" s="22" customFormat="1" ht="30">
      <c r="A12" s="17" t="s">
        <v>53</v>
      </c>
      <c r="B12" s="68" t="s">
        <v>204</v>
      </c>
      <c r="C12" s="17" t="s">
        <v>11</v>
      </c>
      <c r="D12" s="14" t="s">
        <v>203</v>
      </c>
      <c r="E12" s="17" t="s">
        <v>190</v>
      </c>
      <c r="F12" s="18">
        <f>MEMÓRIA!D6</f>
        <v>10</v>
      </c>
      <c r="G12" s="19">
        <v>12.95</v>
      </c>
      <c r="H12" s="19">
        <f>G12*H4+G12</f>
        <v>15.859865</v>
      </c>
      <c r="I12" s="21">
        <f>H12*F12</f>
        <v>158.59865</v>
      </c>
    </row>
    <row r="13" spans="1:9" ht="15">
      <c r="A13" s="17" t="s">
        <v>58</v>
      </c>
      <c r="B13" s="24" t="s">
        <v>21</v>
      </c>
      <c r="C13" s="17" t="s">
        <v>11</v>
      </c>
      <c r="D13" s="15" t="s">
        <v>20</v>
      </c>
      <c r="E13" s="17" t="s">
        <v>18</v>
      </c>
      <c r="F13" s="18">
        <f>MEMÓRIA!D7</f>
        <v>2</v>
      </c>
      <c r="G13" s="19">
        <v>42.59</v>
      </c>
      <c r="H13" s="19">
        <f>G13*H4+G13</f>
        <v>52.15997300000001</v>
      </c>
      <c r="I13" s="21">
        <f t="shared" si="0"/>
        <v>104.31994600000002</v>
      </c>
    </row>
    <row r="14" spans="1:9" ht="30">
      <c r="A14" s="17"/>
      <c r="B14" s="24" t="s">
        <v>69</v>
      </c>
      <c r="C14" s="17" t="s">
        <v>11</v>
      </c>
      <c r="D14" s="12" t="s">
        <v>68</v>
      </c>
      <c r="E14" s="17" t="s">
        <v>12</v>
      </c>
      <c r="F14" s="18">
        <f>MEMÓRIA!D8</f>
        <v>10.69</v>
      </c>
      <c r="G14" s="19">
        <v>14.2</v>
      </c>
      <c r="H14" s="19">
        <f>G14*H4+G14</f>
        <v>17.39074</v>
      </c>
      <c r="I14" s="21">
        <f t="shared" si="0"/>
        <v>185.9070106</v>
      </c>
    </row>
    <row r="15" spans="1:9" s="22" customFormat="1" ht="15">
      <c r="A15" s="17" t="s">
        <v>61</v>
      </c>
      <c r="B15" s="15" t="s">
        <v>71</v>
      </c>
      <c r="C15" s="17" t="s">
        <v>11</v>
      </c>
      <c r="D15" s="10" t="s">
        <v>70</v>
      </c>
      <c r="E15" s="17" t="s">
        <v>12</v>
      </c>
      <c r="F15" s="18">
        <f>MEMÓRIA!D9</f>
        <v>78.39999999999999</v>
      </c>
      <c r="G15" s="19">
        <v>30.21</v>
      </c>
      <c r="H15" s="19">
        <f>G15*H4+G15</f>
        <v>36.998187</v>
      </c>
      <c r="I15" s="21">
        <f t="shared" si="0"/>
        <v>2900.6578608</v>
      </c>
    </row>
    <row r="16" spans="1:9" s="22" customFormat="1" ht="15">
      <c r="A16" s="17" t="s">
        <v>136</v>
      </c>
      <c r="B16" t="s">
        <v>119</v>
      </c>
      <c r="C16" s="17" t="s">
        <v>11</v>
      </c>
      <c r="D16" t="s">
        <v>118</v>
      </c>
      <c r="E16" s="17" t="s">
        <v>18</v>
      </c>
      <c r="F16" s="18">
        <f>MEMÓRIA!D10</f>
        <v>25</v>
      </c>
      <c r="G16" s="19">
        <v>54.44</v>
      </c>
      <c r="H16" s="19">
        <f>G16*H4+G16</f>
        <v>66.672668</v>
      </c>
      <c r="I16" s="21">
        <f>H16*F16</f>
        <v>1666.8167</v>
      </c>
    </row>
    <row r="17" spans="1:9" s="22" customFormat="1" ht="45">
      <c r="A17" s="17" t="s">
        <v>206</v>
      </c>
      <c r="B17" s="24" t="s">
        <v>60</v>
      </c>
      <c r="C17" s="17" t="s">
        <v>11</v>
      </c>
      <c r="D17" s="16" t="s">
        <v>59</v>
      </c>
      <c r="E17" s="17" t="s">
        <v>13</v>
      </c>
      <c r="F17" s="18">
        <f>MEMÓRIA!D11</f>
        <v>19.1456</v>
      </c>
      <c r="G17" s="19">
        <v>94.33</v>
      </c>
      <c r="H17" s="19">
        <f>G17*H4+G17</f>
        <v>115.52595099999999</v>
      </c>
      <c r="I17" s="21">
        <f t="shared" si="0"/>
        <v>2211.8136474656</v>
      </c>
    </row>
    <row r="18" spans="1:9" s="22" customFormat="1" ht="15">
      <c r="A18" s="17" t="s">
        <v>211</v>
      </c>
      <c r="B18" s="68" t="s">
        <v>132</v>
      </c>
      <c r="C18" s="17" t="s">
        <v>11</v>
      </c>
      <c r="D18" t="s">
        <v>131</v>
      </c>
      <c r="E18" s="17" t="s">
        <v>133</v>
      </c>
      <c r="F18" s="18">
        <f>MEMÓRIA!D12</f>
        <v>32</v>
      </c>
      <c r="G18" s="19">
        <v>27.45</v>
      </c>
      <c r="H18" s="19">
        <f>G18*H4+G18</f>
        <v>33.618015</v>
      </c>
      <c r="I18" s="21">
        <f>H18*F18</f>
        <v>1075.77648</v>
      </c>
    </row>
    <row r="19" spans="1:9" s="22" customFormat="1" ht="15">
      <c r="A19" s="72" t="s">
        <v>50</v>
      </c>
      <c r="B19" s="53"/>
      <c r="C19" s="54"/>
      <c r="D19" s="71" t="s">
        <v>212</v>
      </c>
      <c r="E19" s="55"/>
      <c r="F19" s="56"/>
      <c r="G19" s="57"/>
      <c r="H19" s="58"/>
      <c r="I19" s="78">
        <f>I20</f>
        <v>624.2152610100001</v>
      </c>
    </row>
    <row r="20" spans="1:9" s="22" customFormat="1" ht="30">
      <c r="A20" s="17" t="s">
        <v>19</v>
      </c>
      <c r="B20" s="24" t="s">
        <v>214</v>
      </c>
      <c r="C20" s="17" t="s">
        <v>11</v>
      </c>
      <c r="D20" s="12" t="s">
        <v>213</v>
      </c>
      <c r="E20" s="17" t="s">
        <v>12</v>
      </c>
      <c r="F20" s="18">
        <f>MEMÓRIA!D14</f>
        <v>6.27</v>
      </c>
      <c r="G20" s="19">
        <v>81.29</v>
      </c>
      <c r="H20" s="19">
        <f>G20*H4+G20</f>
        <v>99.55586300000002</v>
      </c>
      <c r="I20" s="21">
        <f>H20*F20</f>
        <v>624.2152610100001</v>
      </c>
    </row>
    <row r="21" spans="1:9" ht="15">
      <c r="A21" s="72" t="s">
        <v>22</v>
      </c>
      <c r="B21" s="53"/>
      <c r="C21" s="54"/>
      <c r="D21" s="71" t="s">
        <v>72</v>
      </c>
      <c r="E21" s="55"/>
      <c r="F21" s="56"/>
      <c r="G21" s="57"/>
      <c r="H21" s="58"/>
      <c r="I21" s="78">
        <f>SUM(I22:I25)</f>
        <v>45960.33878968</v>
      </c>
    </row>
    <row r="22" spans="1:9" s="22" customFormat="1" ht="45">
      <c r="A22" s="45" t="s">
        <v>23</v>
      </c>
      <c r="B22" s="68" t="s">
        <v>74</v>
      </c>
      <c r="C22" s="17" t="s">
        <v>11</v>
      </c>
      <c r="D22" s="14" t="s">
        <v>73</v>
      </c>
      <c r="E22" s="45" t="s">
        <v>12</v>
      </c>
      <c r="F22" s="46">
        <f>MEMÓRIA!D16</f>
        <v>481.88</v>
      </c>
      <c r="G22" s="47">
        <v>46.08</v>
      </c>
      <c r="H22" s="48">
        <f>G22*H4+G22</f>
        <v>56.434176</v>
      </c>
      <c r="I22" s="49">
        <f aca="true" t="shared" si="1" ref="I22:I25">H22*F22</f>
        <v>27194.50073088</v>
      </c>
    </row>
    <row r="23" spans="1:9" s="22" customFormat="1" ht="15">
      <c r="A23" s="17" t="s">
        <v>84</v>
      </c>
      <c r="B23" s="13" t="s">
        <v>29</v>
      </c>
      <c r="C23" s="17" t="s">
        <v>11</v>
      </c>
      <c r="D23" s="70" t="s">
        <v>27</v>
      </c>
      <c r="E23" s="24" t="s">
        <v>12</v>
      </c>
      <c r="F23" s="24">
        <f>MEMÓRIA!D17</f>
        <v>515.6700000000001</v>
      </c>
      <c r="G23" s="20">
        <v>6.93</v>
      </c>
      <c r="H23" s="20">
        <f>G23*H4+G23</f>
        <v>8.487171</v>
      </c>
      <c r="I23" s="20">
        <f t="shared" si="1"/>
        <v>4376.579469570001</v>
      </c>
    </row>
    <row r="24" spans="1:9" s="22" customFormat="1" ht="15">
      <c r="A24" s="17" t="s">
        <v>85</v>
      </c>
      <c r="B24" s="13" t="s">
        <v>26</v>
      </c>
      <c r="C24" s="17" t="s">
        <v>11</v>
      </c>
      <c r="D24" s="70" t="s">
        <v>25</v>
      </c>
      <c r="E24" s="24" t="s">
        <v>12</v>
      </c>
      <c r="F24" s="24">
        <f>MEMÓRIA!D18</f>
        <v>515.6700000000001</v>
      </c>
      <c r="G24" s="20">
        <v>22.08</v>
      </c>
      <c r="H24" s="20">
        <f>G24*H4+G24</f>
        <v>27.041376</v>
      </c>
      <c r="I24" s="20">
        <f t="shared" si="1"/>
        <v>13944.426361920001</v>
      </c>
    </row>
    <row r="25" spans="1:9" s="22" customFormat="1" ht="15">
      <c r="A25" s="17" t="s">
        <v>86</v>
      </c>
      <c r="B25" s="13" t="s">
        <v>30</v>
      </c>
      <c r="C25" s="17" t="s">
        <v>11</v>
      </c>
      <c r="D25" s="70" t="s">
        <v>28</v>
      </c>
      <c r="E25" s="24" t="s">
        <v>12</v>
      </c>
      <c r="F25" s="24">
        <f>MEMÓRIA!D19</f>
        <v>28.30999999999999</v>
      </c>
      <c r="G25" s="20">
        <v>12.83</v>
      </c>
      <c r="H25" s="20">
        <f>G25*H4+G25</f>
        <v>15.712901</v>
      </c>
      <c r="I25" s="20">
        <f t="shared" si="1"/>
        <v>444.8322273099999</v>
      </c>
    </row>
    <row r="26" spans="1:9" ht="15">
      <c r="A26" s="72" t="s">
        <v>31</v>
      </c>
      <c r="B26" s="53"/>
      <c r="C26" s="54"/>
      <c r="D26" s="71" t="s">
        <v>75</v>
      </c>
      <c r="E26" s="53"/>
      <c r="F26" s="53"/>
      <c r="G26" s="59"/>
      <c r="H26" s="59"/>
      <c r="I26" s="60">
        <f>SUM(I27:I37)</f>
        <v>40939.602268999995</v>
      </c>
    </row>
    <row r="27" spans="1:9" s="22" customFormat="1" ht="15">
      <c r="A27" s="24" t="s">
        <v>32</v>
      </c>
      <c r="B27" s="24" t="s">
        <v>77</v>
      </c>
      <c r="C27" s="17" t="s">
        <v>11</v>
      </c>
      <c r="D27" s="10" t="s">
        <v>76</v>
      </c>
      <c r="E27" s="17" t="s">
        <v>18</v>
      </c>
      <c r="F27" s="18">
        <f>MEMÓRIA!D21</f>
        <v>27</v>
      </c>
      <c r="G27" s="19">
        <v>465.19</v>
      </c>
      <c r="H27" s="20">
        <f>G27*H4+G27</f>
        <v>569.718193</v>
      </c>
      <c r="I27" s="21">
        <f aca="true" t="shared" si="2" ref="I27:I34">H27*F27</f>
        <v>15382.391211000002</v>
      </c>
    </row>
    <row r="28" spans="1:9" s="22" customFormat="1" ht="15">
      <c r="A28" s="24" t="s">
        <v>33</v>
      </c>
      <c r="B28" s="24" t="s">
        <v>79</v>
      </c>
      <c r="C28" s="17" t="s">
        <v>11</v>
      </c>
      <c r="D28" s="10" t="s">
        <v>78</v>
      </c>
      <c r="E28" s="17" t="s">
        <v>18</v>
      </c>
      <c r="F28" s="18">
        <f>MEMÓRIA!D22</f>
        <v>7</v>
      </c>
      <c r="G28" s="19">
        <v>511.98</v>
      </c>
      <c r="H28" s="20">
        <f>G28*H4+G28</f>
        <v>627.0219060000001</v>
      </c>
      <c r="I28" s="21">
        <f t="shared" si="2"/>
        <v>4389.1533420000005</v>
      </c>
    </row>
    <row r="29" spans="1:9" s="22" customFormat="1" ht="15">
      <c r="A29" s="24" t="s">
        <v>54</v>
      </c>
      <c r="B29" s="24" t="s">
        <v>81</v>
      </c>
      <c r="C29" s="17" t="s">
        <v>11</v>
      </c>
      <c r="D29" s="10" t="s">
        <v>80</v>
      </c>
      <c r="E29" s="17" t="s">
        <v>18</v>
      </c>
      <c r="F29" s="18">
        <f>MEMÓRIA!D23</f>
        <v>7</v>
      </c>
      <c r="G29" s="19">
        <v>469</v>
      </c>
      <c r="H29" s="20">
        <f>G29*H4+G29</f>
        <v>574.3843</v>
      </c>
      <c r="I29" s="21">
        <f t="shared" si="2"/>
        <v>4020.6901000000003</v>
      </c>
    </row>
    <row r="30" spans="1:9" s="22" customFormat="1" ht="30">
      <c r="A30" s="36" t="s">
        <v>129</v>
      </c>
      <c r="B30" s="36" t="s">
        <v>83</v>
      </c>
      <c r="C30" s="92" t="s">
        <v>11</v>
      </c>
      <c r="D30" s="77" t="s">
        <v>82</v>
      </c>
      <c r="E30" s="92" t="s">
        <v>18</v>
      </c>
      <c r="F30" s="93">
        <f>MEMÓRIA!D24</f>
        <v>28</v>
      </c>
      <c r="G30" s="94">
        <v>147.01</v>
      </c>
      <c r="H30" s="95">
        <f>G30*H4+G30</f>
        <v>180.04314699999998</v>
      </c>
      <c r="I30" s="96">
        <f t="shared" si="2"/>
        <v>5041.208116</v>
      </c>
    </row>
    <row r="31" spans="1:9" s="22" customFormat="1" ht="30">
      <c r="A31" s="36" t="s">
        <v>227</v>
      </c>
      <c r="B31" s="24" t="s">
        <v>220</v>
      </c>
      <c r="C31" s="92" t="s">
        <v>11</v>
      </c>
      <c r="D31" s="12" t="s">
        <v>219</v>
      </c>
      <c r="E31" s="92" t="s">
        <v>18</v>
      </c>
      <c r="F31" s="93">
        <f>MEMÓRIA!D25</f>
        <v>2</v>
      </c>
      <c r="G31" s="94">
        <v>1599.02</v>
      </c>
      <c r="H31" s="95">
        <f>G31*H4+G31</f>
        <v>1958.319794</v>
      </c>
      <c r="I31" s="96">
        <f t="shared" si="2"/>
        <v>3916.639588</v>
      </c>
    </row>
    <row r="32" spans="1:9" s="22" customFormat="1" ht="30">
      <c r="A32" s="36" t="s">
        <v>252</v>
      </c>
      <c r="B32" s="24" t="s">
        <v>222</v>
      </c>
      <c r="C32" s="92" t="s">
        <v>11</v>
      </c>
      <c r="D32" s="12" t="s">
        <v>221</v>
      </c>
      <c r="E32" s="92" t="s">
        <v>18</v>
      </c>
      <c r="F32" s="93">
        <f>MEMÓRIA!D26</f>
        <v>2</v>
      </c>
      <c r="G32" s="94">
        <v>1155.28</v>
      </c>
      <c r="H32" s="95">
        <f>G32*H4+G32</f>
        <v>1414.871416</v>
      </c>
      <c r="I32" s="96">
        <f t="shared" si="2"/>
        <v>2829.742832</v>
      </c>
    </row>
    <row r="33" spans="1:9" s="22" customFormat="1" ht="30">
      <c r="A33" s="36" t="s">
        <v>253</v>
      </c>
      <c r="B33" s="24" t="s">
        <v>243</v>
      </c>
      <c r="C33" s="92" t="s">
        <v>11</v>
      </c>
      <c r="D33" s="12" t="s">
        <v>240</v>
      </c>
      <c r="E33" s="92" t="s">
        <v>18</v>
      </c>
      <c r="F33" s="93">
        <f>MEMÓRIA!D27</f>
        <v>4</v>
      </c>
      <c r="G33" s="94">
        <v>166.19</v>
      </c>
      <c r="H33" s="95">
        <f>G33*H4+G33</f>
        <v>203.532893</v>
      </c>
      <c r="I33" s="96">
        <f t="shared" si="2"/>
        <v>814.131572</v>
      </c>
    </row>
    <row r="34" spans="1:9" s="22" customFormat="1" ht="45">
      <c r="A34" s="36" t="s">
        <v>254</v>
      </c>
      <c r="B34" s="24" t="s">
        <v>242</v>
      </c>
      <c r="C34" s="92" t="s">
        <v>11</v>
      </c>
      <c r="D34" s="12" t="s">
        <v>241</v>
      </c>
      <c r="E34" s="92" t="s">
        <v>18</v>
      </c>
      <c r="F34" s="93">
        <f>MEMÓRIA!D28</f>
        <v>4</v>
      </c>
      <c r="G34" s="94">
        <v>209.53</v>
      </c>
      <c r="H34" s="95">
        <f>G34*H4+G34</f>
        <v>256.611391</v>
      </c>
      <c r="I34" s="96">
        <f t="shared" si="2"/>
        <v>1026.445564</v>
      </c>
    </row>
    <row r="35" spans="1:9" s="22" customFormat="1" ht="45">
      <c r="A35" s="36" t="s">
        <v>255</v>
      </c>
      <c r="B35" s="24" t="s">
        <v>247</v>
      </c>
      <c r="C35" s="92" t="s">
        <v>11</v>
      </c>
      <c r="D35" s="12" t="s">
        <v>246</v>
      </c>
      <c r="E35" s="92" t="s">
        <v>190</v>
      </c>
      <c r="F35" s="93">
        <f>MEMÓRIA!D29</f>
        <v>12</v>
      </c>
      <c r="G35" s="94">
        <v>46.74</v>
      </c>
      <c r="H35" s="95">
        <f>G35*H4+G35</f>
        <v>57.242478000000006</v>
      </c>
      <c r="I35" s="96">
        <f>H35*F35</f>
        <v>686.9097360000001</v>
      </c>
    </row>
    <row r="36" spans="1:9" s="22" customFormat="1" ht="45">
      <c r="A36" s="36" t="s">
        <v>256</v>
      </c>
      <c r="B36" s="24" t="s">
        <v>249</v>
      </c>
      <c r="C36" s="92" t="s">
        <v>11</v>
      </c>
      <c r="D36" s="12" t="s">
        <v>248</v>
      </c>
      <c r="E36" s="92" t="s">
        <v>190</v>
      </c>
      <c r="F36" s="93">
        <f>MEMÓRIA!D30</f>
        <v>12</v>
      </c>
      <c r="G36" s="94">
        <v>79.34</v>
      </c>
      <c r="H36" s="95">
        <f>G36*H4+G36</f>
        <v>97.167698</v>
      </c>
      <c r="I36" s="96">
        <f>H36*F36</f>
        <v>1166.0123760000001</v>
      </c>
    </row>
    <row r="37" spans="1:9" s="22" customFormat="1" ht="30">
      <c r="A37" s="36" t="s">
        <v>257</v>
      </c>
      <c r="B37" s="24" t="s">
        <v>245</v>
      </c>
      <c r="C37" s="92" t="s">
        <v>11</v>
      </c>
      <c r="D37" s="12" t="s">
        <v>244</v>
      </c>
      <c r="E37" s="92" t="s">
        <v>190</v>
      </c>
      <c r="F37" s="93">
        <f>MEMÓRIA!D31</f>
        <v>12</v>
      </c>
      <c r="G37" s="94">
        <v>113.38</v>
      </c>
      <c r="H37" s="95">
        <f>G37*H4+G37</f>
        <v>138.856486</v>
      </c>
      <c r="I37" s="96">
        <f>H37*F37</f>
        <v>1666.2778319999998</v>
      </c>
    </row>
    <row r="38" spans="1:9" ht="15">
      <c r="A38" s="72" t="s">
        <v>34</v>
      </c>
      <c r="B38" s="53"/>
      <c r="C38" s="54"/>
      <c r="D38" s="71" t="s">
        <v>24</v>
      </c>
      <c r="E38" s="53"/>
      <c r="F38" s="53"/>
      <c r="G38" s="59"/>
      <c r="H38" s="59"/>
      <c r="I38" s="60">
        <f>SUM(I39:I43)</f>
        <v>82788.51597293599</v>
      </c>
    </row>
    <row r="39" spans="1:9" ht="30">
      <c r="A39" s="17" t="s">
        <v>35</v>
      </c>
      <c r="B39" s="24" t="s">
        <v>88</v>
      </c>
      <c r="C39" s="66" t="s">
        <v>11</v>
      </c>
      <c r="D39" s="12" t="s">
        <v>162</v>
      </c>
      <c r="E39" s="17" t="s">
        <v>12</v>
      </c>
      <c r="F39" s="18">
        <f>MEMÓRIA!D33</f>
        <v>396.15</v>
      </c>
      <c r="G39" s="19">
        <v>38.67</v>
      </c>
      <c r="H39" s="20">
        <f>G39*H4+G39</f>
        <v>47.359149</v>
      </c>
      <c r="I39" s="21">
        <f>H39*F39</f>
        <v>18761.32687635</v>
      </c>
    </row>
    <row r="40" spans="1:9" ht="15">
      <c r="A40" s="45" t="s">
        <v>36</v>
      </c>
      <c r="B40" s="13" t="s">
        <v>90</v>
      </c>
      <c r="C40" s="66" t="s">
        <v>11</v>
      </c>
      <c r="D40" s="10" t="s">
        <v>89</v>
      </c>
      <c r="E40" s="45" t="s">
        <v>12</v>
      </c>
      <c r="F40" s="46">
        <f>MEMÓRIA!D34</f>
        <v>396.15</v>
      </c>
      <c r="G40" s="43">
        <v>44.31</v>
      </c>
      <c r="H40" s="73">
        <f>G40*H4+G40</f>
        <v>54.266457</v>
      </c>
      <c r="I40" s="44">
        <f aca="true" t="shared" si="3" ref="I40:I46">H40*F40</f>
        <v>21497.65694055</v>
      </c>
    </row>
    <row r="41" spans="1:9" ht="15">
      <c r="A41" s="17" t="s">
        <v>113</v>
      </c>
      <c r="B41" s="13" t="s">
        <v>92</v>
      </c>
      <c r="C41" s="66" t="s">
        <v>11</v>
      </c>
      <c r="D41" s="10" t="s">
        <v>91</v>
      </c>
      <c r="E41" s="67" t="s">
        <v>12</v>
      </c>
      <c r="F41" s="18">
        <f>MEMÓRIA!D35</f>
        <v>741.6</v>
      </c>
      <c r="G41" s="19">
        <v>37.84</v>
      </c>
      <c r="H41" s="20">
        <f>G41*H4+G41</f>
        <v>46.342648000000004</v>
      </c>
      <c r="I41" s="21">
        <f t="shared" si="3"/>
        <v>34367.7077568</v>
      </c>
    </row>
    <row r="42" spans="1:9" ht="15">
      <c r="A42" s="17" t="s">
        <v>114</v>
      </c>
      <c r="B42" s="13" t="s">
        <v>225</v>
      </c>
      <c r="C42" s="66" t="s">
        <v>11</v>
      </c>
      <c r="D42" s="10" t="s">
        <v>224</v>
      </c>
      <c r="E42" s="67" t="s">
        <v>12</v>
      </c>
      <c r="F42" s="18">
        <f>MEMÓRIA!D36</f>
        <v>6.7124</v>
      </c>
      <c r="G42" s="19">
        <v>92.5</v>
      </c>
      <c r="H42" s="20">
        <f>G42*H4+G42</f>
        <v>113.28475</v>
      </c>
      <c r="I42" s="21">
        <f>H42*F42</f>
        <v>760.4125559</v>
      </c>
    </row>
    <row r="43" spans="1:9" ht="15">
      <c r="A43" s="17" t="s">
        <v>236</v>
      </c>
      <c r="B43" s="13" t="s">
        <v>229</v>
      </c>
      <c r="C43" s="66" t="s">
        <v>11</v>
      </c>
      <c r="D43" s="10" t="s">
        <v>228</v>
      </c>
      <c r="E43" s="67" t="s">
        <v>13</v>
      </c>
      <c r="F43" s="18">
        <f>MEMÓRIA!D37</f>
        <v>6.986000000000001</v>
      </c>
      <c r="G43" s="19">
        <v>865.08</v>
      </c>
      <c r="H43" s="20">
        <f>G43*H4+G43</f>
        <v>1059.4634760000001</v>
      </c>
      <c r="I43" s="21">
        <f>H43*F43</f>
        <v>7401.411843336002</v>
      </c>
    </row>
    <row r="44" spans="1:9" ht="15">
      <c r="A44" s="72" t="s">
        <v>37</v>
      </c>
      <c r="B44" s="53"/>
      <c r="C44" s="54"/>
      <c r="D44" s="71" t="s">
        <v>93</v>
      </c>
      <c r="E44" s="53"/>
      <c r="F44" s="53"/>
      <c r="G44" s="59"/>
      <c r="H44" s="59"/>
      <c r="I44" s="60">
        <f>SUM(I45:I50)</f>
        <v>38158.69006305</v>
      </c>
    </row>
    <row r="45" spans="1:9" ht="30">
      <c r="A45" s="17" t="s">
        <v>38</v>
      </c>
      <c r="B45" s="24" t="s">
        <v>95</v>
      </c>
      <c r="C45" s="66" t="s">
        <v>11</v>
      </c>
      <c r="D45" s="12" t="s">
        <v>94</v>
      </c>
      <c r="E45" s="17" t="s">
        <v>12</v>
      </c>
      <c r="F45" s="18">
        <f>MEMÓRIA!D39</f>
        <v>78.39999999999999</v>
      </c>
      <c r="G45" s="19">
        <v>278.3</v>
      </c>
      <c r="H45" s="20">
        <f>G45*H4+G45</f>
        <v>340.83401000000003</v>
      </c>
      <c r="I45" s="21">
        <f t="shared" si="3"/>
        <v>26721.386384</v>
      </c>
    </row>
    <row r="46" spans="1:9" ht="15">
      <c r="A46" s="17" t="s">
        <v>39</v>
      </c>
      <c r="B46" s="24" t="s">
        <v>97</v>
      </c>
      <c r="C46" s="66" t="s">
        <v>11</v>
      </c>
      <c r="D46" s="10" t="s">
        <v>96</v>
      </c>
      <c r="E46" s="17" t="s">
        <v>12</v>
      </c>
      <c r="F46" s="18">
        <f>MEMÓRIA!D40</f>
        <v>10.69</v>
      </c>
      <c r="G46" s="29">
        <v>161.35</v>
      </c>
      <c r="H46" s="20">
        <f>G46*H4+G46</f>
        <v>197.605345</v>
      </c>
      <c r="I46" s="21">
        <f t="shared" si="3"/>
        <v>2112.40113805</v>
      </c>
    </row>
    <row r="47" spans="1:9" ht="15">
      <c r="A47" s="17" t="s">
        <v>144</v>
      </c>
      <c r="B47" s="24" t="s">
        <v>101</v>
      </c>
      <c r="C47" s="66" t="s">
        <v>11</v>
      </c>
      <c r="D47" s="10" t="s">
        <v>100</v>
      </c>
      <c r="E47" s="17" t="s">
        <v>12</v>
      </c>
      <c r="F47" s="18">
        <f>MEMÓRIA!D41</f>
        <v>6.6000000000000005</v>
      </c>
      <c r="G47" s="29">
        <v>246.65</v>
      </c>
      <c r="H47" s="20">
        <f>G47*H4+G47</f>
        <v>302.07225500000004</v>
      </c>
      <c r="I47" s="21">
        <f>H47*F47</f>
        <v>1993.6768830000005</v>
      </c>
    </row>
    <row r="48" spans="1:9" ht="15">
      <c r="A48" s="17" t="s">
        <v>149</v>
      </c>
      <c r="B48" s="24" t="s">
        <v>99</v>
      </c>
      <c r="C48" s="66" t="s">
        <v>11</v>
      </c>
      <c r="D48" s="10" t="s">
        <v>98</v>
      </c>
      <c r="E48" s="17" t="s">
        <v>18</v>
      </c>
      <c r="F48" s="18">
        <f>MEMÓRIA!D42</f>
        <v>4</v>
      </c>
      <c r="G48" s="29">
        <v>69.05</v>
      </c>
      <c r="H48" s="20">
        <f>G48*H4+G48</f>
        <v>84.565535</v>
      </c>
      <c r="I48" s="21">
        <f>H48*F48</f>
        <v>338.26214</v>
      </c>
    </row>
    <row r="49" spans="1:9" ht="15">
      <c r="A49" s="17" t="s">
        <v>258</v>
      </c>
      <c r="B49" s="100" t="s">
        <v>233</v>
      </c>
      <c r="C49" s="66" t="s">
        <v>11</v>
      </c>
      <c r="D49" t="s">
        <v>232</v>
      </c>
      <c r="E49" s="17" t="s">
        <v>18</v>
      </c>
      <c r="F49" s="18">
        <f>MEMÓRIA!D43</f>
        <v>2</v>
      </c>
      <c r="G49" s="29">
        <v>1355.42</v>
      </c>
      <c r="H49" s="20">
        <f>G49*H4+G49</f>
        <v>1659.982874</v>
      </c>
      <c r="I49" s="21">
        <f>H49*F49</f>
        <v>3319.965748</v>
      </c>
    </row>
    <row r="50" spans="1:9" ht="15">
      <c r="A50" s="17" t="s">
        <v>259</v>
      </c>
      <c r="B50" s="13" t="s">
        <v>235</v>
      </c>
      <c r="C50" s="66" t="s">
        <v>11</v>
      </c>
      <c r="D50" s="10" t="s">
        <v>234</v>
      </c>
      <c r="E50" s="17" t="s">
        <v>18</v>
      </c>
      <c r="F50" s="18">
        <f>MEMÓRIA!D44</f>
        <v>2</v>
      </c>
      <c r="G50" s="29">
        <v>1499.55</v>
      </c>
      <c r="H50" s="20">
        <f>G50*H4+G50</f>
        <v>1836.498885</v>
      </c>
      <c r="I50" s="21">
        <f>H50*F50</f>
        <v>3672.99777</v>
      </c>
    </row>
    <row r="51" spans="1:9" ht="15">
      <c r="A51" s="72" t="s">
        <v>108</v>
      </c>
      <c r="B51" s="53"/>
      <c r="C51" s="54"/>
      <c r="D51" s="71" t="s">
        <v>62</v>
      </c>
      <c r="E51" s="53"/>
      <c r="F51" s="53"/>
      <c r="G51" s="59"/>
      <c r="H51" s="59"/>
      <c r="I51" s="60">
        <f>SUM(I52:I56)</f>
        <v>140120.9971102204</v>
      </c>
    </row>
    <row r="52" spans="1:9" ht="15">
      <c r="A52" s="17" t="s">
        <v>109</v>
      </c>
      <c r="B52" s="13" t="s">
        <v>103</v>
      </c>
      <c r="C52" s="66" t="s">
        <v>11</v>
      </c>
      <c r="D52" s="10" t="s">
        <v>102</v>
      </c>
      <c r="E52" s="17" t="s">
        <v>12</v>
      </c>
      <c r="F52" s="18">
        <f>MEMÓRIA!D46</f>
        <v>3.5999999999999996</v>
      </c>
      <c r="G52" s="29">
        <v>1002.81</v>
      </c>
      <c r="H52" s="20">
        <f>G52*H4+G52</f>
        <v>1228.1414069999998</v>
      </c>
      <c r="I52" s="21">
        <f>H52*F52</f>
        <v>4421.309065199999</v>
      </c>
    </row>
    <row r="53" spans="1:9" ht="45">
      <c r="A53" s="17" t="s">
        <v>110</v>
      </c>
      <c r="B53" s="24" t="s">
        <v>105</v>
      </c>
      <c r="C53" s="66" t="s">
        <v>11</v>
      </c>
      <c r="D53" s="12" t="s">
        <v>104</v>
      </c>
      <c r="E53" s="17" t="s">
        <v>12</v>
      </c>
      <c r="F53" s="18">
        <f>MEMÓRIA!D47</f>
        <v>46.18</v>
      </c>
      <c r="G53" s="29">
        <v>167.47</v>
      </c>
      <c r="H53" s="20">
        <f>G53*H4+G53</f>
        <v>205.100509</v>
      </c>
      <c r="I53" s="21">
        <f>H53*F53</f>
        <v>9471.54150562</v>
      </c>
    </row>
    <row r="54" spans="1:9" ht="30">
      <c r="A54" s="25" t="s">
        <v>111</v>
      </c>
      <c r="B54" s="68" t="s">
        <v>142</v>
      </c>
      <c r="C54" s="74" t="s">
        <v>11</v>
      </c>
      <c r="D54" s="14" t="s">
        <v>141</v>
      </c>
      <c r="E54" s="25" t="s">
        <v>12</v>
      </c>
      <c r="F54" s="26">
        <f>MEMÓRIA!D48</f>
        <v>150.10999999999999</v>
      </c>
      <c r="G54" s="75">
        <v>17.4</v>
      </c>
      <c r="H54" s="27">
        <f>G54*H4+G54</f>
        <v>21.30978</v>
      </c>
      <c r="I54" s="28">
        <f>H54*F54</f>
        <v>3198.8110758</v>
      </c>
    </row>
    <row r="55" spans="1:9" ht="15">
      <c r="A55" s="17" t="s">
        <v>112</v>
      </c>
      <c r="B55" s="24" t="s">
        <v>147</v>
      </c>
      <c r="C55" s="66" t="s">
        <v>148</v>
      </c>
      <c r="D55" s="10" t="s">
        <v>146</v>
      </c>
      <c r="E55" s="17" t="s">
        <v>12</v>
      </c>
      <c r="F55" s="18">
        <f>MEMÓRIA!D49</f>
        <v>1202.8000000000002</v>
      </c>
      <c r="G55" s="29">
        <f>55.05/1.23</f>
        <v>44.75609756097561</v>
      </c>
      <c r="H55" s="20">
        <f>G55*H4+G55</f>
        <v>54.81279268292683</v>
      </c>
      <c r="I55" s="21">
        <f>H55*F55</f>
        <v>65928.8270390244</v>
      </c>
    </row>
    <row r="56" spans="1:9" ht="45">
      <c r="A56" s="17" t="s">
        <v>153</v>
      </c>
      <c r="B56" s="68" t="s">
        <v>276</v>
      </c>
      <c r="C56" s="66" t="s">
        <v>11</v>
      </c>
      <c r="D56" s="14" t="s">
        <v>277</v>
      </c>
      <c r="E56" s="17" t="s">
        <v>12</v>
      </c>
      <c r="F56" s="18">
        <f>MEMÓRIA!D50</f>
        <v>102.19200000000001</v>
      </c>
      <c r="G56" s="29">
        <v>456.24</v>
      </c>
      <c r="H56" s="20">
        <f>G56*H4+G56</f>
        <v>558.757128</v>
      </c>
      <c r="I56" s="21">
        <f>H56*F56</f>
        <v>57100.508424576</v>
      </c>
    </row>
    <row r="57" spans="1:9" ht="15">
      <c r="A57" s="72" t="s">
        <v>158</v>
      </c>
      <c r="B57" s="53"/>
      <c r="C57" s="54"/>
      <c r="D57" s="71" t="s">
        <v>41</v>
      </c>
      <c r="E57" s="53"/>
      <c r="F57" s="53"/>
      <c r="G57" s="59"/>
      <c r="H57" s="59"/>
      <c r="I57" s="60">
        <f>SUM(I58:I63)</f>
        <v>205047.97575636246</v>
      </c>
    </row>
    <row r="58" spans="1:9" ht="15">
      <c r="A58" s="25" t="s">
        <v>160</v>
      </c>
      <c r="B58" s="68" t="s">
        <v>43</v>
      </c>
      <c r="C58" s="74" t="s">
        <v>11</v>
      </c>
      <c r="D58" t="s">
        <v>42</v>
      </c>
      <c r="E58" s="25" t="s">
        <v>12</v>
      </c>
      <c r="F58" s="26">
        <f>MEMÓRIA!D52</f>
        <v>122.04</v>
      </c>
      <c r="G58" s="75">
        <v>46.11</v>
      </c>
      <c r="H58" s="27">
        <f>G58*H4+G58</f>
        <v>56.470917</v>
      </c>
      <c r="I58" s="28">
        <f>H58*F58</f>
        <v>6891.71071068</v>
      </c>
    </row>
    <row r="59" spans="1:9" ht="15">
      <c r="A59" s="17" t="s">
        <v>161</v>
      </c>
      <c r="B59" s="13" t="s">
        <v>63</v>
      </c>
      <c r="C59" s="66" t="s">
        <v>11</v>
      </c>
      <c r="D59" s="10" t="s">
        <v>138</v>
      </c>
      <c r="E59" s="17" t="s">
        <v>12</v>
      </c>
      <c r="F59" s="18">
        <f>MEMÓRIA!D53</f>
        <v>1795.67</v>
      </c>
      <c r="G59" s="29">
        <v>31.26</v>
      </c>
      <c r="H59" s="20">
        <f>G59*H4+G59</f>
        <v>38.284122</v>
      </c>
      <c r="I59" s="21">
        <f>H59*F59</f>
        <v>68745.64935174001</v>
      </c>
    </row>
    <row r="60" spans="1:9" ht="15">
      <c r="A60" s="17" t="s">
        <v>187</v>
      </c>
      <c r="B60" s="13" t="s">
        <v>63</v>
      </c>
      <c r="C60" s="66" t="s">
        <v>11</v>
      </c>
      <c r="D60" s="10" t="s">
        <v>139</v>
      </c>
      <c r="E60" s="17" t="s">
        <v>12</v>
      </c>
      <c r="F60" s="18">
        <f>MEMÓRIA!D54</f>
        <v>1547.6100000000001</v>
      </c>
      <c r="G60" s="29">
        <v>31.26</v>
      </c>
      <c r="H60" s="20">
        <f>G60*H4+G60</f>
        <v>38.284122</v>
      </c>
      <c r="I60" s="21">
        <f>H60*F60</f>
        <v>59248.89004842001</v>
      </c>
    </row>
    <row r="61" spans="1:9" ht="15">
      <c r="A61" s="17" t="s">
        <v>260</v>
      </c>
      <c r="B61" s="13" t="s">
        <v>107</v>
      </c>
      <c r="C61" s="66" t="s">
        <v>11</v>
      </c>
      <c r="D61" s="10" t="s">
        <v>106</v>
      </c>
      <c r="E61" s="17" t="s">
        <v>12</v>
      </c>
      <c r="F61" s="18">
        <f>MEMÓRIA!D55</f>
        <v>161.02</v>
      </c>
      <c r="G61" s="29">
        <v>45.73</v>
      </c>
      <c r="H61" s="20">
        <f>G61*H4+G61</f>
        <v>56.005531</v>
      </c>
      <c r="I61" s="21">
        <f>H61*F61</f>
        <v>9018.01060162</v>
      </c>
    </row>
    <row r="62" spans="1:9" ht="15">
      <c r="A62" s="92" t="s">
        <v>261</v>
      </c>
      <c r="B62" s="37" t="s">
        <v>152</v>
      </c>
      <c r="C62" s="98" t="s">
        <v>148</v>
      </c>
      <c r="D62" s="11" t="s">
        <v>151</v>
      </c>
      <c r="E62" s="92" t="s">
        <v>18</v>
      </c>
      <c r="F62" s="93">
        <f>MEMÓRIA!D56</f>
        <v>1</v>
      </c>
      <c r="G62" s="118">
        <f>1561.2/1.23</f>
        <v>1269.2682926829268</v>
      </c>
      <c r="H62" s="95">
        <f>G62*H4+G62</f>
        <v>1554.4728780487806</v>
      </c>
      <c r="I62" s="96">
        <f>H62*F62</f>
        <v>1554.4728780487806</v>
      </c>
    </row>
    <row r="63" spans="1:9" ht="30">
      <c r="A63" s="92" t="s">
        <v>262</v>
      </c>
      <c r="B63" s="97" t="s">
        <v>155</v>
      </c>
      <c r="C63" s="98" t="s">
        <v>148</v>
      </c>
      <c r="D63" s="99" t="s">
        <v>154</v>
      </c>
      <c r="E63" s="92" t="s">
        <v>12</v>
      </c>
      <c r="F63" s="93">
        <f>MEMÓRIA!D57</f>
        <v>741.6</v>
      </c>
      <c r="G63" s="118">
        <f>80.7/1.23</f>
        <v>65.60975609756098</v>
      </c>
      <c r="H63" s="95">
        <f>G63*H4+G63</f>
        <v>80.35226829268292</v>
      </c>
      <c r="I63" s="96">
        <f aca="true" t="shared" si="4" ref="I63">H63*F63</f>
        <v>59589.242165853655</v>
      </c>
    </row>
    <row r="64" spans="1:9" ht="15">
      <c r="A64" s="72" t="s">
        <v>263</v>
      </c>
      <c r="B64" s="53"/>
      <c r="C64" s="54"/>
      <c r="D64" s="71" t="s">
        <v>159</v>
      </c>
      <c r="E64" s="53"/>
      <c r="F64" s="53"/>
      <c r="G64" s="59"/>
      <c r="H64" s="59"/>
      <c r="I64" s="60">
        <f>SUM(I65:I76)</f>
        <v>30408.693345679025</v>
      </c>
    </row>
    <row r="65" spans="1:9" ht="15">
      <c r="A65" s="101" t="s">
        <v>264</v>
      </c>
      <c r="B65" s="102"/>
      <c r="C65" s="102"/>
      <c r="D65" s="103" t="s">
        <v>163</v>
      </c>
      <c r="E65" s="104"/>
      <c r="F65" s="105"/>
      <c r="G65" s="106"/>
      <c r="H65" s="107"/>
      <c r="I65" s="108"/>
    </row>
    <row r="66" spans="1:9" ht="15">
      <c r="A66" s="109" t="s">
        <v>265</v>
      </c>
      <c r="B66" s="68" t="s">
        <v>164</v>
      </c>
      <c r="C66" s="110" t="s">
        <v>11</v>
      </c>
      <c r="D66" t="s">
        <v>165</v>
      </c>
      <c r="E66" s="110" t="s">
        <v>166</v>
      </c>
      <c r="F66" s="111">
        <f>MEMÓRIA!D60</f>
        <v>36</v>
      </c>
      <c r="G66" s="108">
        <v>75.39</v>
      </c>
      <c r="H66" s="112">
        <f>G66*H4+G66</f>
        <v>92.330133</v>
      </c>
      <c r="I66" s="112">
        <f aca="true" t="shared" si="5" ref="I66:I76">F66*H66</f>
        <v>3323.8847880000003</v>
      </c>
    </row>
    <row r="67" spans="1:9" ht="15">
      <c r="A67" s="109" t="s">
        <v>266</v>
      </c>
      <c r="B67" s="24" t="s">
        <v>167</v>
      </c>
      <c r="C67" s="110" t="s">
        <v>11</v>
      </c>
      <c r="D67" s="10" t="s">
        <v>168</v>
      </c>
      <c r="E67" s="110" t="s">
        <v>169</v>
      </c>
      <c r="F67" s="111">
        <f>MEMÓRIA!D61</f>
        <v>1.44</v>
      </c>
      <c r="G67" s="108">
        <v>48.68</v>
      </c>
      <c r="H67" s="112">
        <f>G67*H4+G67</f>
        <v>59.618396000000004</v>
      </c>
      <c r="I67" s="112">
        <f t="shared" si="5"/>
        <v>85.85049024</v>
      </c>
    </row>
    <row r="68" spans="1:9" ht="15">
      <c r="A68" s="109" t="s">
        <v>267</v>
      </c>
      <c r="B68" s="110" t="s">
        <v>170</v>
      </c>
      <c r="C68" s="110" t="s">
        <v>148</v>
      </c>
      <c r="D68" s="113" t="s">
        <v>171</v>
      </c>
      <c r="E68" s="110" t="s">
        <v>172</v>
      </c>
      <c r="F68" s="111">
        <f>MEMÓRIA!D62</f>
        <v>1.44</v>
      </c>
      <c r="G68" s="108">
        <f>9.26/1.23</f>
        <v>7.528455284552845</v>
      </c>
      <c r="H68" s="112">
        <f>G68*H4+G68</f>
        <v>9.22009918699187</v>
      </c>
      <c r="I68" s="112">
        <f t="shared" si="5"/>
        <v>13.276942829268293</v>
      </c>
    </row>
    <row r="69" spans="1:9" ht="15">
      <c r="A69" s="109" t="s">
        <v>268</v>
      </c>
      <c r="B69" s="109" t="s">
        <v>173</v>
      </c>
      <c r="C69" s="110" t="s">
        <v>148</v>
      </c>
      <c r="D69" s="113" t="s">
        <v>174</v>
      </c>
      <c r="E69" s="110" t="s">
        <v>172</v>
      </c>
      <c r="F69" s="111">
        <f>MEMÓRIA!D63</f>
        <v>1.44</v>
      </c>
      <c r="G69" s="108">
        <f>11.38/1.23</f>
        <v>9.252032520325203</v>
      </c>
      <c r="H69" s="112">
        <f>G69*H4+G69</f>
        <v>11.330964227642276</v>
      </c>
      <c r="I69" s="112">
        <f t="shared" si="5"/>
        <v>16.31658848780488</v>
      </c>
    </row>
    <row r="70" spans="1:9" ht="15">
      <c r="A70" s="109" t="s">
        <v>269</v>
      </c>
      <c r="B70" s="110" t="s">
        <v>175</v>
      </c>
      <c r="C70" s="110" t="s">
        <v>11</v>
      </c>
      <c r="D70" s="113" t="s">
        <v>176</v>
      </c>
      <c r="E70" s="110" t="s">
        <v>172</v>
      </c>
      <c r="F70" s="111">
        <f>MEMÓRIA!D64</f>
        <v>4.8</v>
      </c>
      <c r="G70" s="108">
        <v>98.55</v>
      </c>
      <c r="H70" s="112">
        <f>G70*H4+G70</f>
        <v>120.694185</v>
      </c>
      <c r="I70" s="112">
        <f t="shared" si="5"/>
        <v>579.332088</v>
      </c>
    </row>
    <row r="71" spans="1:9" ht="15">
      <c r="A71" s="109" t="s">
        <v>270</v>
      </c>
      <c r="B71" s="109" t="s">
        <v>177</v>
      </c>
      <c r="C71" s="110" t="s">
        <v>148</v>
      </c>
      <c r="D71" s="113" t="s">
        <v>178</v>
      </c>
      <c r="E71" s="110" t="s">
        <v>169</v>
      </c>
      <c r="F71" s="111">
        <f>MEMÓRIA!D65</f>
        <v>1.44</v>
      </c>
      <c r="G71" s="108">
        <f>671.35/1.23</f>
        <v>545.8130081300814</v>
      </c>
      <c r="H71" s="112">
        <f>G71*H4+G71</f>
        <v>668.4571910569107</v>
      </c>
      <c r="I71" s="112">
        <f t="shared" si="5"/>
        <v>962.5783551219514</v>
      </c>
    </row>
    <row r="72" spans="1:9" ht="15">
      <c r="A72" s="109" t="s">
        <v>271</v>
      </c>
      <c r="B72" s="24" t="s">
        <v>179</v>
      </c>
      <c r="C72" s="110" t="s">
        <v>11</v>
      </c>
      <c r="D72" t="s">
        <v>180</v>
      </c>
      <c r="E72" s="110" t="s">
        <v>181</v>
      </c>
      <c r="F72" s="111">
        <f>MEMÓRIA!D66</f>
        <v>144</v>
      </c>
      <c r="G72" s="108">
        <v>11.46</v>
      </c>
      <c r="H72" s="112">
        <f>G72*H4+G72</f>
        <v>14.035062000000002</v>
      </c>
      <c r="I72" s="112">
        <f t="shared" si="5"/>
        <v>2021.0489280000002</v>
      </c>
    </row>
    <row r="73" spans="1:9" ht="15">
      <c r="A73" s="101" t="s">
        <v>272</v>
      </c>
      <c r="B73" s="105"/>
      <c r="C73" s="105"/>
      <c r="D73" s="103" t="s">
        <v>182</v>
      </c>
      <c r="E73" s="105"/>
      <c r="F73" s="104"/>
      <c r="G73" s="106"/>
      <c r="H73" s="107"/>
      <c r="I73" s="112"/>
    </row>
    <row r="74" spans="1:9" ht="15">
      <c r="A74" s="109" t="s">
        <v>273</v>
      </c>
      <c r="B74" s="109" t="s">
        <v>183</v>
      </c>
      <c r="C74" s="109" t="s">
        <v>11</v>
      </c>
      <c r="D74" s="114" t="s">
        <v>184</v>
      </c>
      <c r="E74" s="110" t="s">
        <v>14</v>
      </c>
      <c r="F74" s="111">
        <v>1</v>
      </c>
      <c r="G74" s="108">
        <v>17867.95</v>
      </c>
      <c r="H74" s="112">
        <f>G74*H4+G74</f>
        <v>21882.878365</v>
      </c>
      <c r="I74" s="112">
        <f t="shared" si="5"/>
        <v>21882.878365</v>
      </c>
    </row>
    <row r="75" spans="1:9" ht="15">
      <c r="A75" s="101" t="s">
        <v>274</v>
      </c>
      <c r="B75" s="105"/>
      <c r="C75" s="105"/>
      <c r="D75" s="103" t="s">
        <v>75</v>
      </c>
      <c r="E75" s="105"/>
      <c r="F75" s="104"/>
      <c r="G75" s="106"/>
      <c r="H75" s="107"/>
      <c r="I75" s="112"/>
    </row>
    <row r="76" spans="1:9" ht="15">
      <c r="A76" s="109" t="s">
        <v>275</v>
      </c>
      <c r="B76" s="115" t="s">
        <v>185</v>
      </c>
      <c r="C76" s="110" t="s">
        <v>148</v>
      </c>
      <c r="D76" s="116" t="s">
        <v>186</v>
      </c>
      <c r="E76" s="110" t="s">
        <v>166</v>
      </c>
      <c r="F76" s="111">
        <v>20</v>
      </c>
      <c r="G76" s="108">
        <v>62.2</v>
      </c>
      <c r="H76" s="112">
        <f>G76*H4+G76</f>
        <v>76.17634000000001</v>
      </c>
      <c r="I76" s="112">
        <f t="shared" si="5"/>
        <v>1523.5268</v>
      </c>
    </row>
    <row r="77" spans="1:9" ht="29.25" customHeight="1">
      <c r="A77" s="62"/>
      <c r="B77" s="53"/>
      <c r="C77" s="38"/>
      <c r="D77" s="39"/>
      <c r="E77" s="172" t="s">
        <v>44</v>
      </c>
      <c r="F77" s="172"/>
      <c r="G77" s="172"/>
      <c r="H77" s="172"/>
      <c r="I77" s="40">
        <f>I64+I57+I51+I44+I38+I26+I21+I19+I8</f>
        <v>599784.5957374795</v>
      </c>
    </row>
    <row r="79" spans="5:9" ht="15">
      <c r="E79" s="169" t="s">
        <v>251</v>
      </c>
      <c r="F79" s="169"/>
      <c r="G79" s="169"/>
      <c r="H79" s="169"/>
      <c r="I79" s="169"/>
    </row>
    <row r="80" spans="5:9" ht="15">
      <c r="E80" s="80"/>
      <c r="F80" s="80"/>
      <c r="G80" s="80"/>
      <c r="H80" s="80"/>
      <c r="I80" s="117"/>
    </row>
    <row r="82" spans="3:9" ht="15">
      <c r="C82"/>
      <c r="E82" s="169" t="s">
        <v>47</v>
      </c>
      <c r="F82" s="169"/>
      <c r="G82" s="169"/>
      <c r="H82" s="169"/>
      <c r="I82" s="169"/>
    </row>
    <row r="83" spans="3:9" ht="15">
      <c r="C83"/>
      <c r="E83" s="169" t="s">
        <v>48</v>
      </c>
      <c r="F83" s="169"/>
      <c r="G83" s="169"/>
      <c r="H83" s="169"/>
      <c r="I83" s="169"/>
    </row>
    <row r="84" spans="3:9" ht="15">
      <c r="C84"/>
      <c r="E84" s="169" t="s">
        <v>49</v>
      </c>
      <c r="F84" s="169"/>
      <c r="G84" s="169"/>
      <c r="H84" s="169"/>
      <c r="I84" s="169"/>
    </row>
    <row r="85" spans="3:9" ht="15">
      <c r="C85"/>
      <c r="E85" s="169"/>
      <c r="F85" s="169"/>
      <c r="G85" s="169"/>
      <c r="H85" s="169"/>
      <c r="I85" s="169"/>
    </row>
  </sheetData>
  <mergeCells count="8">
    <mergeCell ref="E83:I83"/>
    <mergeCell ref="E84:I84"/>
    <mergeCell ref="E85:I85"/>
    <mergeCell ref="A2:D2"/>
    <mergeCell ref="G2:G3"/>
    <mergeCell ref="E77:H77"/>
    <mergeCell ref="E79:I79"/>
    <mergeCell ref="E82:I82"/>
  </mergeCells>
  <conditionalFormatting sqref="E9:I10 I21:I22 E21:G22 E27:G27 I27 C9:C10 I45:I50 A45:A50 H11:I13 E14:I18 C14:C18 A52:A56 I52:I56 E52:G56 I58:I61 A58:A61 C60:C61 E60:G61 E65:G76 C65:C76 A65:A76 I65:I76 A39:A43 I40:I43 E41:G43 A9:A18 A20:A27 C20:C27 E20:I20">
    <cfRule type="expression" priority="73" dxfId="1">
      <formula>IF($L9="I",TRUE,FALSE)</formula>
    </cfRule>
    <cfRule type="expression" priority="74" dxfId="0">
      <formula>IF($L9="T",TRUE,FALSE)</formula>
    </cfRule>
  </conditionalFormatting>
  <conditionalFormatting sqref="C9:C10 C14:C18 C60:C61 C65:C76 C20:C27">
    <cfRule type="expression" priority="72" dxfId="76">
      <formula>IF($L9="I",TRUE,FALSE)</formula>
    </cfRule>
  </conditionalFormatting>
  <conditionalFormatting sqref="I39 E39:G40">
    <cfRule type="expression" priority="70" dxfId="1">
      <formula>IF($L39="I",TRUE,FALSE)</formula>
    </cfRule>
    <cfRule type="expression" priority="71" dxfId="0">
      <formula>IF($L39="T",TRUE,FALSE)</formula>
    </cfRule>
  </conditionalFormatting>
  <conditionalFormatting sqref="A38">
    <cfRule type="expression" priority="68" dxfId="1">
      <formula>IF($L38="I",TRUE,FALSE)</formula>
    </cfRule>
    <cfRule type="expression" priority="69" dxfId="0">
      <formula>IF($L38="T",TRUE,FALSE)</formula>
    </cfRule>
  </conditionalFormatting>
  <conditionalFormatting sqref="C38">
    <cfRule type="expression" priority="66" dxfId="1">
      <formula>IF($L38="I",TRUE,FALSE)</formula>
    </cfRule>
    <cfRule type="expression" priority="67" dxfId="0">
      <formula>IF($L38="T",TRUE,FALSE)</formula>
    </cfRule>
  </conditionalFormatting>
  <conditionalFormatting sqref="C38">
    <cfRule type="expression" priority="65" dxfId="76">
      <formula>IF($L38="I",TRUE,FALSE)</formula>
    </cfRule>
  </conditionalFormatting>
  <conditionalFormatting sqref="E45:G45">
    <cfRule type="expression" priority="63" dxfId="1">
      <formula>IF($L45="I",TRUE,FALSE)</formula>
    </cfRule>
    <cfRule type="expression" priority="64" dxfId="0">
      <formula>IF($L45="T",TRUE,FALSE)</formula>
    </cfRule>
  </conditionalFormatting>
  <conditionalFormatting sqref="F46:G50 F58:G59">
    <cfRule type="expression" priority="61" dxfId="1">
      <formula>IF($L46="I",TRUE,FALSE)</formula>
    </cfRule>
    <cfRule type="expression" priority="62" dxfId="0">
      <formula>IF($L46="T",TRUE,FALSE)</formula>
    </cfRule>
  </conditionalFormatting>
  <conditionalFormatting sqref="C58:C59">
    <cfRule type="expression" priority="59" dxfId="1">
      <formula>IF($L58="I",TRUE,FALSE)</formula>
    </cfRule>
    <cfRule type="expression" priority="60" dxfId="0">
      <formula>IF($L58="T",TRUE,FALSE)</formula>
    </cfRule>
  </conditionalFormatting>
  <conditionalFormatting sqref="C58:C59">
    <cfRule type="expression" priority="58" dxfId="76">
      <formula>IF($L58="I",TRUE,FALSE)</formula>
    </cfRule>
  </conditionalFormatting>
  <conditionalFormatting sqref="E46:E50 E58:E59">
    <cfRule type="expression" priority="56" dxfId="1">
      <formula>IF($L46="I",TRUE,FALSE)</formula>
    </cfRule>
    <cfRule type="expression" priority="57" dxfId="0">
      <formula>IF($L46="T",TRUE,FALSE)</formula>
    </cfRule>
  </conditionalFormatting>
  <conditionalFormatting sqref="C44">
    <cfRule type="expression" priority="51" dxfId="76">
      <formula>IF($L44="I",TRUE,FALSE)</formula>
    </cfRule>
  </conditionalFormatting>
  <conditionalFormatting sqref="A44">
    <cfRule type="expression" priority="54" dxfId="1">
      <formula>IF($L44="I",TRUE,FALSE)</formula>
    </cfRule>
    <cfRule type="expression" priority="55" dxfId="0">
      <formula>IF($L44="T",TRUE,FALSE)</formula>
    </cfRule>
  </conditionalFormatting>
  <conditionalFormatting sqref="C44">
    <cfRule type="expression" priority="52" dxfId="1">
      <formula>IF($L44="I",TRUE,FALSE)</formula>
    </cfRule>
    <cfRule type="expression" priority="53" dxfId="0">
      <formula>IF($L44="T",TRUE,FALSE)</formula>
    </cfRule>
  </conditionalFormatting>
  <conditionalFormatting sqref="C57">
    <cfRule type="expression" priority="46" dxfId="76">
      <formula>IF($L57="I",TRUE,FALSE)</formula>
    </cfRule>
  </conditionalFormatting>
  <conditionalFormatting sqref="A57">
    <cfRule type="expression" priority="49" dxfId="1">
      <formula>IF($L57="I",TRUE,FALSE)</formula>
    </cfRule>
    <cfRule type="expression" priority="50" dxfId="0">
      <formula>IF($L57="T",TRUE,FALSE)</formula>
    </cfRule>
  </conditionalFormatting>
  <conditionalFormatting sqref="C57">
    <cfRule type="expression" priority="47" dxfId="1">
      <formula>IF($L57="I",TRUE,FALSE)</formula>
    </cfRule>
    <cfRule type="expression" priority="48" dxfId="0">
      <formula>IF($L57="T",TRUE,FALSE)</formula>
    </cfRule>
  </conditionalFormatting>
  <conditionalFormatting sqref="C11:C12 E11:G12">
    <cfRule type="expression" priority="35" dxfId="1">
      <formula>IF($L11="I",TRUE,FALSE)</formula>
    </cfRule>
    <cfRule type="expression" priority="36" dxfId="0">
      <formula>IF($L11="T",TRUE,FALSE)</formula>
    </cfRule>
  </conditionalFormatting>
  <conditionalFormatting sqref="C11:C12">
    <cfRule type="expression" priority="34" dxfId="76">
      <formula>IF($L11="I",TRUE,FALSE)</formula>
    </cfRule>
  </conditionalFormatting>
  <conditionalFormatting sqref="C13 E13:G13">
    <cfRule type="expression" priority="32" dxfId="1">
      <formula>IF($L13="I",TRUE,FALSE)</formula>
    </cfRule>
    <cfRule type="expression" priority="33" dxfId="0">
      <formula>IF($L13="T",TRUE,FALSE)</formula>
    </cfRule>
  </conditionalFormatting>
  <conditionalFormatting sqref="C13">
    <cfRule type="expression" priority="31" dxfId="76">
      <formula>IF($L13="I",TRUE,FALSE)</formula>
    </cfRule>
  </conditionalFormatting>
  <conditionalFormatting sqref="E28:G28 I28 A28 C28">
    <cfRule type="expression" priority="29" dxfId="1">
      <formula>IF($L28="I",TRUE,FALSE)</formula>
    </cfRule>
    <cfRule type="expression" priority="30" dxfId="0">
      <formula>IF($L28="T",TRUE,FALSE)</formula>
    </cfRule>
  </conditionalFormatting>
  <conditionalFormatting sqref="C28">
    <cfRule type="expression" priority="28" dxfId="76">
      <formula>IF($L28="I",TRUE,FALSE)</formula>
    </cfRule>
  </conditionalFormatting>
  <conditionalFormatting sqref="I29:I37 A29:A37 E29:G37 C29:C37">
    <cfRule type="expression" priority="26" dxfId="1">
      <formula>IF($L29="I",TRUE,FALSE)</formula>
    </cfRule>
    <cfRule type="expression" priority="27" dxfId="0">
      <formula>IF($L29="T",TRUE,FALSE)</formula>
    </cfRule>
  </conditionalFormatting>
  <conditionalFormatting sqref="C29:C37">
    <cfRule type="expression" priority="25" dxfId="76">
      <formula>IF($L29="I",TRUE,FALSE)</formula>
    </cfRule>
  </conditionalFormatting>
  <conditionalFormatting sqref="C51">
    <cfRule type="expression" priority="20" dxfId="76">
      <formula>IF($L51="I",TRUE,FALSE)</formula>
    </cfRule>
  </conditionalFormatting>
  <conditionalFormatting sqref="A51">
    <cfRule type="expression" priority="23" dxfId="1">
      <formula>IF($L51="I",TRUE,FALSE)</formula>
    </cfRule>
    <cfRule type="expression" priority="24" dxfId="0">
      <formula>IF($L51="T",TRUE,FALSE)</formula>
    </cfRule>
  </conditionalFormatting>
  <conditionalFormatting sqref="C51">
    <cfRule type="expression" priority="21" dxfId="1">
      <formula>IF($L51="I",TRUE,FALSE)</formula>
    </cfRule>
    <cfRule type="expression" priority="22" dxfId="0">
      <formula>IF($L51="T",TRUE,FALSE)</formula>
    </cfRule>
  </conditionalFormatting>
  <conditionalFormatting sqref="C64">
    <cfRule type="expression" priority="15" dxfId="76">
      <formula>IF($L64="I",TRUE,FALSE)</formula>
    </cfRule>
  </conditionalFormatting>
  <conditionalFormatting sqref="A64">
    <cfRule type="expression" priority="18" dxfId="1">
      <formula>IF($L64="I",TRUE,FALSE)</formula>
    </cfRule>
    <cfRule type="expression" priority="19" dxfId="0">
      <formula>IF($L64="T",TRUE,FALSE)</formula>
    </cfRule>
  </conditionalFormatting>
  <conditionalFormatting sqref="C64">
    <cfRule type="expression" priority="16" dxfId="1">
      <formula>IF($L64="I",TRUE,FALSE)</formula>
    </cfRule>
    <cfRule type="expression" priority="17" dxfId="0">
      <formula>IF($L64="T",TRUE,FALSE)</formula>
    </cfRule>
  </conditionalFormatting>
  <conditionalFormatting sqref="I62:I63">
    <cfRule type="expression" priority="13" dxfId="1">
      <formula>IF($L62="I",TRUE,FALSE)</formula>
    </cfRule>
    <cfRule type="expression" priority="14" dxfId="0">
      <formula>IF($L62="T",TRUE,FALSE)</formula>
    </cfRule>
  </conditionalFormatting>
  <conditionalFormatting sqref="A62:A63">
    <cfRule type="expression" priority="11" dxfId="1">
      <formula>IF($L62="I",TRUE,FALSE)</formula>
    </cfRule>
    <cfRule type="expression" priority="12" dxfId="0">
      <formula>IF($L62="T",TRUE,FALSE)</formula>
    </cfRule>
  </conditionalFormatting>
  <conditionalFormatting sqref="F62:G63">
    <cfRule type="expression" priority="9" dxfId="1">
      <formula>IF($L62="I",TRUE,FALSE)</formula>
    </cfRule>
    <cfRule type="expression" priority="10" dxfId="0">
      <formula>IF($L62="T",TRUE,FALSE)</formula>
    </cfRule>
  </conditionalFormatting>
  <conditionalFormatting sqref="C62:C63">
    <cfRule type="expression" priority="7" dxfId="1">
      <formula>IF($L62="I",TRUE,FALSE)</formula>
    </cfRule>
    <cfRule type="expression" priority="8" dxfId="0">
      <formula>IF($L62="T",TRUE,FALSE)</formula>
    </cfRule>
  </conditionalFormatting>
  <conditionalFormatting sqref="C62:C63">
    <cfRule type="expression" priority="6" dxfId="76">
      <formula>IF($L62="I",TRUE,FALSE)</formula>
    </cfRule>
  </conditionalFormatting>
  <conditionalFormatting sqref="E62:E63">
    <cfRule type="expression" priority="4" dxfId="1">
      <formula>IF($L62="I",TRUE,FALSE)</formula>
    </cfRule>
    <cfRule type="expression" priority="5" dxfId="0">
      <formula>IF($L62="T",TRUE,FALSE)</formula>
    </cfRule>
  </conditionalFormatting>
  <conditionalFormatting sqref="I19 E19:G19 A19 C19">
    <cfRule type="expression" priority="2" dxfId="1">
      <formula>IF($L19="I",TRUE,FALSE)</formula>
    </cfRule>
    <cfRule type="expression" priority="3" dxfId="0">
      <formula>IF($L19="T",TRUE,FALSE)</formula>
    </cfRule>
  </conditionalFormatting>
  <conditionalFormatting sqref="C19">
    <cfRule type="expression" priority="1" dxfId="76">
      <formula>IF($L19="I",TRUE,FALSE)</formula>
    </cfRule>
  </conditionalFormatting>
  <printOptions/>
  <pageMargins left="0.5905511811023623" right="0.5905511811023623" top="1.3779527559055118" bottom="0.7874015748031497" header="0.31496062992125984" footer="0.31496062992125984"/>
  <pageSetup fitToHeight="2" fitToWidth="1" horizontalDpi="600" verticalDpi="600" orientation="portrait" paperSize="9" scale="60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workbookViewId="0" topLeftCell="A34">
      <selection activeCell="B51" sqref="B51:E51"/>
    </sheetView>
  </sheetViews>
  <sheetFormatPr defaultColWidth="9.140625" defaultRowHeight="15"/>
  <cols>
    <col min="2" max="2" width="57.00390625" style="0" customWidth="1"/>
    <col min="3" max="4" width="9.140625" style="87" customWidth="1"/>
    <col min="5" max="5" width="56.00390625" style="0" customWidth="1"/>
  </cols>
  <sheetData>
    <row r="1" spans="1:4" ht="15">
      <c r="A1" t="s">
        <v>2</v>
      </c>
      <c r="B1" t="s">
        <v>5</v>
      </c>
      <c r="C1" s="87" t="s">
        <v>14</v>
      </c>
      <c r="D1" s="87" t="s">
        <v>15</v>
      </c>
    </row>
    <row r="2" spans="1:5" ht="15">
      <c r="A2" s="51" t="s">
        <v>46</v>
      </c>
      <c r="B2" s="178" t="s">
        <v>57</v>
      </c>
      <c r="C2" s="178"/>
      <c r="D2" s="178"/>
      <c r="E2" s="179"/>
    </row>
    <row r="3" spans="1:5" ht="76.5">
      <c r="A3" s="17" t="s">
        <v>45</v>
      </c>
      <c r="B3" s="22" t="s">
        <v>66</v>
      </c>
      <c r="C3" s="17" t="s">
        <v>12</v>
      </c>
      <c r="D3" s="88">
        <f>57.6+20.88+49.52+53.68+57.6+57.6+34.55+20.88+49.52+49.77+57.6</f>
        <v>509.2</v>
      </c>
      <c r="E3" s="84" t="s">
        <v>130</v>
      </c>
    </row>
    <row r="4" spans="1:5" ht="30">
      <c r="A4" s="17" t="s">
        <v>51</v>
      </c>
      <c r="B4" s="12" t="s">
        <v>207</v>
      </c>
      <c r="C4" s="17"/>
      <c r="D4" s="88">
        <f>0.7*2.1*0.15*2</f>
        <v>0.441</v>
      </c>
      <c r="E4" s="84" t="s">
        <v>209</v>
      </c>
    </row>
    <row r="5" spans="1:5" ht="15">
      <c r="A5" s="17" t="s">
        <v>52</v>
      </c>
      <c r="B5" s="15" t="s">
        <v>16</v>
      </c>
      <c r="C5" s="17" t="s">
        <v>18</v>
      </c>
      <c r="D5" s="82">
        <v>4</v>
      </c>
      <c r="E5" s="83"/>
    </row>
    <row r="6" spans="1:5" ht="30">
      <c r="A6" s="17" t="s">
        <v>53</v>
      </c>
      <c r="B6" s="14" t="s">
        <v>203</v>
      </c>
      <c r="C6" s="17" t="s">
        <v>190</v>
      </c>
      <c r="D6" s="82">
        <f>(0.8+2.1+2.1)*2</f>
        <v>10</v>
      </c>
      <c r="E6" s="83" t="s">
        <v>205</v>
      </c>
    </row>
    <row r="7" spans="1:5" ht="15">
      <c r="A7" s="17" t="s">
        <v>58</v>
      </c>
      <c r="B7" s="15" t="s">
        <v>20</v>
      </c>
      <c r="C7" s="17" t="s">
        <v>18</v>
      </c>
      <c r="D7" s="37">
        <v>2</v>
      </c>
      <c r="E7" s="81" t="s">
        <v>115</v>
      </c>
    </row>
    <row r="8" spans="1:7" ht="30">
      <c r="A8" s="17"/>
      <c r="B8" s="12" t="s">
        <v>68</v>
      </c>
      <c r="C8" s="17" t="s">
        <v>12</v>
      </c>
      <c r="D8" s="37">
        <f>(2.85*1.7*2)+(1*0.2*5)</f>
        <v>10.69</v>
      </c>
      <c r="E8" s="81" t="s">
        <v>116</v>
      </c>
      <c r="G8" s="89"/>
    </row>
    <row r="9" spans="1:6" ht="15">
      <c r="A9" s="17" t="s">
        <v>61</v>
      </c>
      <c r="B9" s="10" t="s">
        <v>70</v>
      </c>
      <c r="C9" s="17" t="s">
        <v>12</v>
      </c>
      <c r="D9" s="36">
        <f>2.8*1*28</f>
        <v>78.39999999999999</v>
      </c>
      <c r="E9" s="84" t="s">
        <v>117</v>
      </c>
      <c r="F9" s="76"/>
    </row>
    <row r="10" spans="1:6" ht="15">
      <c r="A10" s="17" t="s">
        <v>136</v>
      </c>
      <c r="B10" t="s">
        <v>118</v>
      </c>
      <c r="C10" s="17"/>
      <c r="D10" s="36">
        <v>25</v>
      </c>
      <c r="E10" s="84" t="s">
        <v>120</v>
      </c>
      <c r="F10" s="76"/>
    </row>
    <row r="11" spans="1:5" ht="45">
      <c r="A11" s="17" t="s">
        <v>206</v>
      </c>
      <c r="B11" s="16" t="s">
        <v>59</v>
      </c>
      <c r="C11" s="17" t="s">
        <v>13</v>
      </c>
      <c r="D11" s="85">
        <f>(509.2*0.02)+(0.8*2.1*0.04*3)+(1.5*0.4*0.4*2)+(78.4*0.1)+0.44</f>
        <v>19.1456</v>
      </c>
      <c r="E11" s="84" t="s">
        <v>210</v>
      </c>
    </row>
    <row r="12" spans="1:5" ht="25.5">
      <c r="A12" s="17" t="s">
        <v>211</v>
      </c>
      <c r="B12" t="s">
        <v>131</v>
      </c>
      <c r="C12" s="17" t="s">
        <v>134</v>
      </c>
      <c r="D12" s="85">
        <f>16*2</f>
        <v>32</v>
      </c>
      <c r="E12" s="84" t="s">
        <v>135</v>
      </c>
    </row>
    <row r="13" spans="1:5" ht="15">
      <c r="A13" s="72" t="s">
        <v>50</v>
      </c>
      <c r="B13" s="71" t="s">
        <v>212</v>
      </c>
      <c r="C13" s="55"/>
      <c r="D13" s="121"/>
      <c r="E13" s="122"/>
    </row>
    <row r="14" spans="1:5" ht="30">
      <c r="A14" s="17" t="s">
        <v>19</v>
      </c>
      <c r="B14" s="12" t="s">
        <v>213</v>
      </c>
      <c r="C14" s="17" t="s">
        <v>12</v>
      </c>
      <c r="D14" s="85">
        <f>1.65*1.9*2</f>
        <v>6.27</v>
      </c>
      <c r="E14" s="120" t="s">
        <v>215</v>
      </c>
    </row>
    <row r="15" spans="1:5" ht="15">
      <c r="A15" s="72" t="s">
        <v>22</v>
      </c>
      <c r="B15" s="177" t="s">
        <v>72</v>
      </c>
      <c r="C15" s="177"/>
      <c r="D15" s="177"/>
      <c r="E15" s="180"/>
    </row>
    <row r="16" spans="1:5" ht="90">
      <c r="A16" s="45" t="s">
        <v>23</v>
      </c>
      <c r="B16" s="90" t="s">
        <v>73</v>
      </c>
      <c r="C16" s="45" t="s">
        <v>12</v>
      </c>
      <c r="D16" s="36">
        <f>230.4+8.96+48.4+53.68+34.35+48.4+57.69</f>
        <v>481.88</v>
      </c>
      <c r="E16" s="35" t="s">
        <v>202</v>
      </c>
    </row>
    <row r="17" spans="1:7" ht="84.75" customHeight="1">
      <c r="A17" s="17" t="s">
        <v>84</v>
      </c>
      <c r="B17" s="91" t="s">
        <v>27</v>
      </c>
      <c r="C17" s="24" t="s">
        <v>12</v>
      </c>
      <c r="D17" s="85">
        <f>230.4+41.76+48.4+53.68+34.35+48.4+57.69+0.99</f>
        <v>515.6700000000001</v>
      </c>
      <c r="E17" s="84" t="s">
        <v>216</v>
      </c>
      <c r="G17" s="89"/>
    </row>
    <row r="18" spans="1:5" ht="82.5" customHeight="1">
      <c r="A18" s="17" t="s">
        <v>85</v>
      </c>
      <c r="B18" s="91" t="s">
        <v>25</v>
      </c>
      <c r="C18" s="24" t="s">
        <v>12</v>
      </c>
      <c r="D18" s="85">
        <f>230.4+41.76+48.4+53.68+34.35+48.4+57.69+0.99</f>
        <v>515.6700000000001</v>
      </c>
      <c r="E18" s="84" t="s">
        <v>216</v>
      </c>
    </row>
    <row r="19" spans="1:5" ht="25.5">
      <c r="A19" s="17" t="s">
        <v>86</v>
      </c>
      <c r="B19" s="70" t="s">
        <v>28</v>
      </c>
      <c r="C19" s="24" t="s">
        <v>12</v>
      </c>
      <c r="D19" s="85">
        <f>D3-D16+0.99</f>
        <v>28.30999999999999</v>
      </c>
      <c r="E19" s="84" t="s">
        <v>217</v>
      </c>
    </row>
    <row r="20" spans="1:5" ht="15">
      <c r="A20" s="72" t="s">
        <v>31</v>
      </c>
      <c r="B20" s="177" t="s">
        <v>75</v>
      </c>
      <c r="C20" s="177"/>
      <c r="D20" s="177"/>
      <c r="E20" s="180"/>
    </row>
    <row r="21" spans="1:5" ht="15">
      <c r="A21" s="24" t="s">
        <v>32</v>
      </c>
      <c r="B21" s="10" t="s">
        <v>76</v>
      </c>
      <c r="C21" s="17" t="s">
        <v>18</v>
      </c>
      <c r="D21" s="36">
        <v>27</v>
      </c>
      <c r="E21" s="84" t="s">
        <v>218</v>
      </c>
    </row>
    <row r="22" spans="1:5" ht="15">
      <c r="A22" s="24" t="s">
        <v>33</v>
      </c>
      <c r="B22" s="10" t="s">
        <v>78</v>
      </c>
      <c r="C22" s="17" t="s">
        <v>18</v>
      </c>
      <c r="D22" s="37">
        <v>7</v>
      </c>
      <c r="E22" s="11" t="s">
        <v>121</v>
      </c>
    </row>
    <row r="23" spans="1:5" ht="15">
      <c r="A23" s="24" t="s">
        <v>54</v>
      </c>
      <c r="B23" s="10" t="s">
        <v>80</v>
      </c>
      <c r="C23" s="17" t="s">
        <v>18</v>
      </c>
      <c r="D23" s="37">
        <v>7</v>
      </c>
      <c r="E23" s="11" t="s">
        <v>121</v>
      </c>
    </row>
    <row r="24" spans="1:5" ht="30">
      <c r="A24" s="36" t="s">
        <v>129</v>
      </c>
      <c r="B24" s="35" t="s">
        <v>82</v>
      </c>
      <c r="C24" s="92" t="s">
        <v>18</v>
      </c>
      <c r="D24" s="36">
        <v>28</v>
      </c>
      <c r="E24" s="35" t="s">
        <v>223</v>
      </c>
    </row>
    <row r="25" spans="1:5" ht="30">
      <c r="A25" s="36" t="s">
        <v>227</v>
      </c>
      <c r="B25" s="12" t="s">
        <v>219</v>
      </c>
      <c r="C25" s="92" t="s">
        <v>18</v>
      </c>
      <c r="D25" s="36">
        <v>2</v>
      </c>
      <c r="E25" s="35" t="s">
        <v>250</v>
      </c>
    </row>
    <row r="26" spans="1:5" ht="30">
      <c r="A26" s="36" t="s">
        <v>252</v>
      </c>
      <c r="B26" s="12" t="s">
        <v>221</v>
      </c>
      <c r="C26" s="92" t="s">
        <v>14</v>
      </c>
      <c r="D26" s="36">
        <v>2</v>
      </c>
      <c r="E26" s="35" t="s">
        <v>250</v>
      </c>
    </row>
    <row r="27" spans="1:5" ht="30">
      <c r="A27" s="36" t="s">
        <v>253</v>
      </c>
      <c r="B27" s="12" t="s">
        <v>240</v>
      </c>
      <c r="C27" s="92" t="s">
        <v>18</v>
      </c>
      <c r="D27" s="36">
        <v>4</v>
      </c>
      <c r="E27" s="35" t="s">
        <v>250</v>
      </c>
    </row>
    <row r="28" spans="1:5" ht="45">
      <c r="A28" s="36" t="s">
        <v>254</v>
      </c>
      <c r="B28" s="12" t="s">
        <v>241</v>
      </c>
      <c r="C28" s="92" t="s">
        <v>18</v>
      </c>
      <c r="D28" s="36">
        <v>4</v>
      </c>
      <c r="E28" s="35" t="s">
        <v>250</v>
      </c>
    </row>
    <row r="29" spans="1:5" ht="30">
      <c r="A29" s="36" t="s">
        <v>255</v>
      </c>
      <c r="B29" s="12" t="s">
        <v>246</v>
      </c>
      <c r="C29" s="92" t="s">
        <v>190</v>
      </c>
      <c r="D29" s="36">
        <v>12</v>
      </c>
      <c r="E29" s="35" t="s">
        <v>250</v>
      </c>
    </row>
    <row r="30" spans="1:5" ht="30">
      <c r="A30" s="36" t="s">
        <v>256</v>
      </c>
      <c r="B30" s="12" t="s">
        <v>248</v>
      </c>
      <c r="C30" s="92" t="s">
        <v>190</v>
      </c>
      <c r="D30" s="36">
        <v>12</v>
      </c>
      <c r="E30" s="35" t="s">
        <v>250</v>
      </c>
    </row>
    <row r="31" spans="1:5" ht="30">
      <c r="A31" s="36" t="s">
        <v>257</v>
      </c>
      <c r="B31" s="12" t="s">
        <v>244</v>
      </c>
      <c r="C31" s="92" t="s">
        <v>190</v>
      </c>
      <c r="D31" s="36">
        <v>12</v>
      </c>
      <c r="E31" s="35" t="s">
        <v>250</v>
      </c>
    </row>
    <row r="32" spans="1:5" ht="15">
      <c r="A32" s="72" t="s">
        <v>34</v>
      </c>
      <c r="B32" s="177" t="s">
        <v>24</v>
      </c>
      <c r="C32" s="177"/>
      <c r="D32" s="177"/>
      <c r="E32" s="180"/>
    </row>
    <row r="33" spans="1:5" ht="30">
      <c r="A33" s="17" t="s">
        <v>35</v>
      </c>
      <c r="B33" s="12" t="s">
        <v>87</v>
      </c>
      <c r="C33" s="17" t="s">
        <v>12</v>
      </c>
      <c r="D33" s="37">
        <f>198.17+197.98</f>
        <v>396.15</v>
      </c>
      <c r="E33" s="11" t="s">
        <v>122</v>
      </c>
    </row>
    <row r="34" spans="1:5" ht="15">
      <c r="A34" s="45" t="s">
        <v>36</v>
      </c>
      <c r="B34" s="10" t="s">
        <v>89</v>
      </c>
      <c r="C34" s="45" t="s">
        <v>12</v>
      </c>
      <c r="D34" s="37">
        <f>198.17+197.98</f>
        <v>396.15</v>
      </c>
      <c r="E34" s="11" t="s">
        <v>123</v>
      </c>
    </row>
    <row r="35" spans="1:5" ht="15">
      <c r="A35" s="17" t="s">
        <v>113</v>
      </c>
      <c r="B35" s="10" t="s">
        <v>91</v>
      </c>
      <c r="C35" s="67" t="s">
        <v>12</v>
      </c>
      <c r="D35" s="36">
        <v>741.6</v>
      </c>
      <c r="E35" s="35" t="s">
        <v>124</v>
      </c>
    </row>
    <row r="36" spans="1:5" ht="15">
      <c r="A36" s="17" t="s">
        <v>114</v>
      </c>
      <c r="B36" s="10" t="s">
        <v>224</v>
      </c>
      <c r="C36" s="67" t="s">
        <v>12</v>
      </c>
      <c r="D36" s="85">
        <f>1.73*1.94*2</f>
        <v>6.7124</v>
      </c>
      <c r="E36" s="35" t="s">
        <v>226</v>
      </c>
    </row>
    <row r="37" spans="1:5" ht="15">
      <c r="A37" s="17" t="s">
        <v>236</v>
      </c>
      <c r="B37" s="10" t="s">
        <v>228</v>
      </c>
      <c r="C37" s="67"/>
      <c r="D37" s="36">
        <f>34.93*0.2</f>
        <v>6.986000000000001</v>
      </c>
      <c r="E37" s="35" t="s">
        <v>230</v>
      </c>
    </row>
    <row r="38" spans="1:5" ht="15">
      <c r="A38" s="72" t="s">
        <v>37</v>
      </c>
      <c r="B38" s="177" t="s">
        <v>93</v>
      </c>
      <c r="C38" s="177"/>
      <c r="D38" s="177"/>
      <c r="E38" s="180"/>
    </row>
    <row r="39" spans="1:5" ht="30">
      <c r="A39" s="17" t="s">
        <v>38</v>
      </c>
      <c r="B39" s="12" t="s">
        <v>94</v>
      </c>
      <c r="C39" s="17" t="s">
        <v>12</v>
      </c>
      <c r="D39" s="36">
        <f>2.8*1*28</f>
        <v>78.39999999999999</v>
      </c>
      <c r="E39" s="84" t="s">
        <v>125</v>
      </c>
    </row>
    <row r="40" spans="1:5" ht="25.5">
      <c r="A40" s="17" t="s">
        <v>39</v>
      </c>
      <c r="B40" s="10" t="s">
        <v>96</v>
      </c>
      <c r="C40" s="17" t="s">
        <v>12</v>
      </c>
      <c r="D40" s="37">
        <f>(2.85*1.7*2)+(1*0.2*5)</f>
        <v>10.69</v>
      </c>
      <c r="E40" s="81" t="s">
        <v>126</v>
      </c>
    </row>
    <row r="41" spans="1:5" ht="15">
      <c r="A41" s="17" t="s">
        <v>144</v>
      </c>
      <c r="B41" s="10" t="s">
        <v>100</v>
      </c>
      <c r="C41" s="17" t="s">
        <v>12</v>
      </c>
      <c r="D41" s="36">
        <f>(0.6*1.8*3)+(0.8*2.1*2)</f>
        <v>6.6000000000000005</v>
      </c>
      <c r="E41" s="35" t="s">
        <v>127</v>
      </c>
    </row>
    <row r="42" spans="1:5" ht="15">
      <c r="A42" s="17" t="s">
        <v>149</v>
      </c>
      <c r="B42" s="10" t="s">
        <v>98</v>
      </c>
      <c r="C42" s="17" t="s">
        <v>18</v>
      </c>
      <c r="D42" s="85">
        <v>4</v>
      </c>
      <c r="E42" s="77" t="s">
        <v>231</v>
      </c>
    </row>
    <row r="43" spans="1:5" ht="15">
      <c r="A43" s="17" t="s">
        <v>258</v>
      </c>
      <c r="B43" s="10" t="s">
        <v>232</v>
      </c>
      <c r="C43" s="17" t="s">
        <v>18</v>
      </c>
      <c r="D43" s="85">
        <v>2</v>
      </c>
      <c r="E43" s="77" t="s">
        <v>237</v>
      </c>
    </row>
    <row r="44" spans="1:5" ht="15">
      <c r="A44" s="17" t="s">
        <v>259</v>
      </c>
      <c r="B44" s="10" t="s">
        <v>234</v>
      </c>
      <c r="C44" s="17" t="s">
        <v>18</v>
      </c>
      <c r="D44" s="85">
        <v>2</v>
      </c>
      <c r="E44" s="77" t="s">
        <v>238</v>
      </c>
    </row>
    <row r="45" spans="1:5" ht="15">
      <c r="A45" s="72" t="s">
        <v>108</v>
      </c>
      <c r="B45" s="177" t="s">
        <v>62</v>
      </c>
      <c r="C45" s="177"/>
      <c r="D45" s="177"/>
      <c r="E45" s="180"/>
    </row>
    <row r="46" spans="1:5" ht="15">
      <c r="A46" s="17" t="s">
        <v>109</v>
      </c>
      <c r="B46" s="10" t="s">
        <v>102</v>
      </c>
      <c r="C46" s="17" t="s">
        <v>12</v>
      </c>
      <c r="D46" s="37">
        <f>6*0.5*1.2</f>
        <v>3.5999999999999996</v>
      </c>
      <c r="E46" s="77" t="s">
        <v>128</v>
      </c>
    </row>
    <row r="47" spans="1:5" ht="45">
      <c r="A47" s="17" t="s">
        <v>110</v>
      </c>
      <c r="B47" s="12" t="s">
        <v>104</v>
      </c>
      <c r="C47" s="17" t="s">
        <v>12</v>
      </c>
      <c r="D47" s="36">
        <v>46.18</v>
      </c>
      <c r="E47" s="35" t="s">
        <v>137</v>
      </c>
    </row>
    <row r="48" spans="1:5" ht="30">
      <c r="A48" s="25" t="s">
        <v>111</v>
      </c>
      <c r="B48" s="12" t="s">
        <v>141</v>
      </c>
      <c r="C48" s="17" t="s">
        <v>12</v>
      </c>
      <c r="D48" s="36">
        <f>1.7*44.15*2</f>
        <v>150.10999999999999</v>
      </c>
      <c r="E48" s="35" t="s">
        <v>143</v>
      </c>
    </row>
    <row r="49" spans="1:5" ht="45">
      <c r="A49" s="17" t="s">
        <v>112</v>
      </c>
      <c r="B49" s="10" t="s">
        <v>146</v>
      </c>
      <c r="C49" s="17" t="s">
        <v>12</v>
      </c>
      <c r="D49" s="36">
        <f>(36*9.65*2)+(254*2)</f>
        <v>1202.8000000000002</v>
      </c>
      <c r="E49" s="35" t="s">
        <v>150</v>
      </c>
    </row>
    <row r="50" spans="1:5" ht="45">
      <c r="A50" s="17" t="s">
        <v>153</v>
      </c>
      <c r="B50" s="14" t="s">
        <v>277</v>
      </c>
      <c r="C50" s="17" t="s">
        <v>12</v>
      </c>
      <c r="D50" s="36">
        <f>63.87*0.8*2</f>
        <v>102.19200000000001</v>
      </c>
      <c r="E50" s="35" t="s">
        <v>278</v>
      </c>
    </row>
    <row r="51" spans="1:5" ht="15">
      <c r="A51" s="72" t="s">
        <v>158</v>
      </c>
      <c r="B51" s="177" t="s">
        <v>41</v>
      </c>
      <c r="C51" s="177"/>
      <c r="D51" s="177"/>
      <c r="E51" s="177"/>
    </row>
    <row r="52" spans="1:5" ht="45">
      <c r="A52" s="25" t="s">
        <v>160</v>
      </c>
      <c r="B52" t="s">
        <v>42</v>
      </c>
      <c r="C52" s="25" t="s">
        <v>12</v>
      </c>
      <c r="D52" s="24">
        <f>(0.8*2.1*16*2)+(0.6*1.8*25*2)+14.28</f>
        <v>122.04</v>
      </c>
      <c r="E52" s="12" t="s">
        <v>239</v>
      </c>
    </row>
    <row r="53" spans="1:5" ht="60">
      <c r="A53" s="17" t="s">
        <v>161</v>
      </c>
      <c r="B53" s="10" t="s">
        <v>138</v>
      </c>
      <c r="C53" s="17" t="s">
        <v>12</v>
      </c>
      <c r="D53" s="24">
        <f>415.36+21.32+54.9+353.42+41.26+18.75+17.13+10.53+863</f>
        <v>1795.67</v>
      </c>
      <c r="E53" s="12" t="s">
        <v>157</v>
      </c>
    </row>
    <row r="54" spans="1:5" ht="75">
      <c r="A54" s="17" t="s">
        <v>187</v>
      </c>
      <c r="B54" s="15" t="s">
        <v>139</v>
      </c>
      <c r="C54" s="17" t="s">
        <v>12</v>
      </c>
      <c r="D54" s="24">
        <f>(755.82+821.19+60.5+52.41+16.6)-158.91</f>
        <v>1547.6100000000001</v>
      </c>
      <c r="E54" s="16" t="s">
        <v>145</v>
      </c>
    </row>
    <row r="55" spans="1:5" ht="30">
      <c r="A55" s="17" t="s">
        <v>260</v>
      </c>
      <c r="B55" s="15" t="s">
        <v>106</v>
      </c>
      <c r="C55" s="17" t="s">
        <v>12</v>
      </c>
      <c r="D55" s="24">
        <f>(2.6*1*22*2)+(5.25*2.1*2)+(5.85*2.1*2)</f>
        <v>161.02</v>
      </c>
      <c r="E55" s="16" t="s">
        <v>140</v>
      </c>
    </row>
    <row r="56" spans="1:5" ht="15">
      <c r="A56" s="92" t="s">
        <v>261</v>
      </c>
      <c r="B56" s="10" t="s">
        <v>151</v>
      </c>
      <c r="C56" s="17" t="s">
        <v>18</v>
      </c>
      <c r="D56" s="13">
        <v>1</v>
      </c>
      <c r="E56" s="10"/>
    </row>
    <row r="57" spans="1:5" ht="30">
      <c r="A57" s="92" t="s">
        <v>262</v>
      </c>
      <c r="B57" s="12" t="s">
        <v>154</v>
      </c>
      <c r="C57" s="17" t="s">
        <v>12</v>
      </c>
      <c r="D57" s="13">
        <v>741.6</v>
      </c>
      <c r="E57" s="10" t="s">
        <v>156</v>
      </c>
    </row>
    <row r="58" spans="1:5" ht="15">
      <c r="A58" s="72" t="s">
        <v>263</v>
      </c>
      <c r="B58" s="174" t="s">
        <v>188</v>
      </c>
      <c r="C58" s="175"/>
      <c r="D58" s="175"/>
      <c r="E58" s="176"/>
    </row>
    <row r="59" spans="1:5" ht="15">
      <c r="A59" s="101" t="s">
        <v>264</v>
      </c>
      <c r="B59" s="174" t="s">
        <v>163</v>
      </c>
      <c r="C59" s="175"/>
      <c r="D59" s="175"/>
      <c r="E59" s="176"/>
    </row>
    <row r="60" spans="1:5" ht="15">
      <c r="A60" s="109" t="s">
        <v>265</v>
      </c>
      <c r="B60" s="10" t="s">
        <v>189</v>
      </c>
      <c r="C60" s="13" t="s">
        <v>190</v>
      </c>
      <c r="D60" s="13">
        <f>6*6</f>
        <v>36</v>
      </c>
      <c r="E60" s="10" t="s">
        <v>191</v>
      </c>
    </row>
    <row r="61" spans="1:5" ht="15">
      <c r="A61" s="109" t="s">
        <v>266</v>
      </c>
      <c r="B61" s="10" t="s">
        <v>192</v>
      </c>
      <c r="C61" s="13" t="s">
        <v>193</v>
      </c>
      <c r="D61" s="13">
        <f>1.2*1.2*1</f>
        <v>1.44</v>
      </c>
      <c r="E61" s="10" t="s">
        <v>194</v>
      </c>
    </row>
    <row r="62" spans="1:5" ht="15">
      <c r="A62" s="109" t="s">
        <v>267</v>
      </c>
      <c r="B62" s="10" t="s">
        <v>171</v>
      </c>
      <c r="C62" s="13" t="s">
        <v>195</v>
      </c>
      <c r="D62" s="13">
        <f>1.2*1.2</f>
        <v>1.44</v>
      </c>
      <c r="E62" s="10" t="s">
        <v>196</v>
      </c>
    </row>
    <row r="63" spans="1:5" ht="15">
      <c r="A63" s="109" t="s">
        <v>268</v>
      </c>
      <c r="B63" s="10" t="s">
        <v>174</v>
      </c>
      <c r="C63" s="13" t="s">
        <v>195</v>
      </c>
      <c r="D63" s="13">
        <f>1.2*1.2</f>
        <v>1.44</v>
      </c>
      <c r="E63" s="10" t="s">
        <v>196</v>
      </c>
    </row>
    <row r="64" spans="1:5" ht="15">
      <c r="A64" s="109" t="s">
        <v>269</v>
      </c>
      <c r="B64" s="10" t="s">
        <v>176</v>
      </c>
      <c r="C64" s="13" t="s">
        <v>195</v>
      </c>
      <c r="D64" s="13">
        <f>(1.2+1.2+1.2+1.2)*1</f>
        <v>4.8</v>
      </c>
      <c r="E64" s="10" t="s">
        <v>197</v>
      </c>
    </row>
    <row r="65" spans="1:5" ht="15">
      <c r="A65" s="109" t="s">
        <v>270</v>
      </c>
      <c r="B65" s="10" t="s">
        <v>178</v>
      </c>
      <c r="C65" s="13" t="s">
        <v>193</v>
      </c>
      <c r="D65" s="13">
        <f>1.2*1.2*1</f>
        <v>1.44</v>
      </c>
      <c r="E65" s="10" t="s">
        <v>198</v>
      </c>
    </row>
    <row r="66" spans="1:5" ht="15">
      <c r="A66" s="109" t="s">
        <v>271</v>
      </c>
      <c r="B66" s="10" t="s">
        <v>199</v>
      </c>
      <c r="C66" s="13" t="s">
        <v>200</v>
      </c>
      <c r="D66" s="13">
        <f>D65*100</f>
        <v>144</v>
      </c>
      <c r="E66" s="10" t="s">
        <v>201</v>
      </c>
    </row>
  </sheetData>
  <mergeCells count="9">
    <mergeCell ref="B58:E58"/>
    <mergeCell ref="B59:E59"/>
    <mergeCell ref="B51:E51"/>
    <mergeCell ref="B2:E2"/>
    <mergeCell ref="B15:E15"/>
    <mergeCell ref="B20:E20"/>
    <mergeCell ref="B32:E32"/>
    <mergeCell ref="B38:E38"/>
    <mergeCell ref="B45:E45"/>
  </mergeCells>
  <conditionalFormatting sqref="E7:E14">
    <cfRule type="expression" priority="171" dxfId="35">
      <formula>IF($G7="I",TRUE,FALSE)</formula>
    </cfRule>
    <cfRule type="expression" priority="172" dxfId="34">
      <formula>IF($G7="T",TRUE,FALSE)</formula>
    </cfRule>
  </conditionalFormatting>
  <conditionalFormatting sqref="D3:E6">
    <cfRule type="expression" priority="173" dxfId="35">
      <formula>IF($G3="I",TRUE,FALSE)</formula>
    </cfRule>
    <cfRule type="expression" priority="174" dxfId="34">
      <formula>IF($G3="T",TRUE,FALSE)</formula>
    </cfRule>
  </conditionalFormatting>
  <conditionalFormatting sqref="C33:C34 A33:A36 C36:C37 A38:A55">
    <cfRule type="expression" priority="87" dxfId="1">
      <formula>IF($L33="I",TRUE,FALSE)</formula>
    </cfRule>
    <cfRule type="expression" priority="88" dxfId="0">
      <formula>IF($L33="T",TRUE,FALSE)</formula>
    </cfRule>
  </conditionalFormatting>
  <conditionalFormatting sqref="E19">
    <cfRule type="expression" priority="113" dxfId="35">
      <formula>IF($G19="I",TRUE,FALSE)</formula>
    </cfRule>
    <cfRule type="expression" priority="114" dxfId="34">
      <formula>IF($G19="T",TRUE,FALSE)</formula>
    </cfRule>
  </conditionalFormatting>
  <conditionalFormatting sqref="C22">
    <cfRule type="expression" priority="75" dxfId="1">
      <formula>IF($L22="I",TRUE,FALSE)</formula>
    </cfRule>
    <cfRule type="expression" priority="76" dxfId="0">
      <formula>IF($L22="T",TRUE,FALSE)</formula>
    </cfRule>
  </conditionalFormatting>
  <conditionalFormatting sqref="C23:C24">
    <cfRule type="expression" priority="73" dxfId="1">
      <formula>IF($L23="I",TRUE,FALSE)</formula>
    </cfRule>
    <cfRule type="expression" priority="74" dxfId="0">
      <formula>IF($L23="T",TRUE,FALSE)</formula>
    </cfRule>
  </conditionalFormatting>
  <conditionalFormatting sqref="C56:C57">
    <cfRule type="expression" priority="47" dxfId="1">
      <formula>IF($L56="I",TRUE,FALSE)</formula>
    </cfRule>
    <cfRule type="expression" priority="48" dxfId="0">
      <formula>IF($L56="T",TRUE,FALSE)</formula>
    </cfRule>
  </conditionalFormatting>
  <conditionalFormatting sqref="C14">
    <cfRule type="expression" priority="41" dxfId="1">
      <formula>IF($L14="I",TRUE,FALSE)</formula>
    </cfRule>
    <cfRule type="expression" priority="42" dxfId="0">
      <formula>IF($L14="T",TRUE,FALSE)</formula>
    </cfRule>
  </conditionalFormatting>
  <conditionalFormatting sqref="C13">
    <cfRule type="expression" priority="39" dxfId="1">
      <formula>IF($L13="I",TRUE,FALSE)</formula>
    </cfRule>
    <cfRule type="expression" priority="40" dxfId="0">
      <formula>IF($L13="T",TRUE,FALSE)</formula>
    </cfRule>
  </conditionalFormatting>
  <conditionalFormatting sqref="C25:C26">
    <cfRule type="expression" priority="37" dxfId="1">
      <formula>IF($L25="I",TRUE,FALSE)</formula>
    </cfRule>
    <cfRule type="expression" priority="38" dxfId="0">
      <formula>IF($L25="T",TRUE,FALSE)</formula>
    </cfRule>
  </conditionalFormatting>
  <conditionalFormatting sqref="C3:C4 C21 C8:C12 C35 C46:C50 C16">
    <cfRule type="expression" priority="89" dxfId="1">
      <formula>IF($L3="I",TRUE,FALSE)</formula>
    </cfRule>
    <cfRule type="expression" priority="90" dxfId="0">
      <formula>IF($L3="T",TRUE,FALSE)</formula>
    </cfRule>
  </conditionalFormatting>
  <conditionalFormatting sqref="C54:C55">
    <cfRule type="expression" priority="81" dxfId="1">
      <formula>IF($L54="I",TRUE,FALSE)</formula>
    </cfRule>
    <cfRule type="expression" priority="82" dxfId="0">
      <formula>IF($L54="T",TRUE,FALSE)</formula>
    </cfRule>
  </conditionalFormatting>
  <conditionalFormatting sqref="C39">
    <cfRule type="expression" priority="85" dxfId="1">
      <formula>IF($L39="I",TRUE,FALSE)</formula>
    </cfRule>
    <cfRule type="expression" priority="86" dxfId="0">
      <formula>IF($L39="T",TRUE,FALSE)</formula>
    </cfRule>
  </conditionalFormatting>
  <conditionalFormatting sqref="C40:C44 C52:C53">
    <cfRule type="expression" priority="83" dxfId="1">
      <formula>IF($L40="I",TRUE,FALSE)</formula>
    </cfRule>
    <cfRule type="expression" priority="84" dxfId="0">
      <formula>IF($L40="T",TRUE,FALSE)</formula>
    </cfRule>
  </conditionalFormatting>
  <conditionalFormatting sqref="C5:C6">
    <cfRule type="expression" priority="79" dxfId="1">
      <formula>IF($L5="I",TRUE,FALSE)</formula>
    </cfRule>
    <cfRule type="expression" priority="80" dxfId="0">
      <formula>IF($L5="T",TRUE,FALSE)</formula>
    </cfRule>
  </conditionalFormatting>
  <conditionalFormatting sqref="C7">
    <cfRule type="expression" priority="77" dxfId="1">
      <formula>IF($L7="I",TRUE,FALSE)</formula>
    </cfRule>
    <cfRule type="expression" priority="78" dxfId="0">
      <formula>IF($L7="T",TRUE,FALSE)</formula>
    </cfRule>
  </conditionalFormatting>
  <conditionalFormatting sqref="E21">
    <cfRule type="expression" priority="55" dxfId="35">
      <formula>IF($G21="I",TRUE,FALSE)</formula>
    </cfRule>
    <cfRule type="expression" priority="56" dxfId="34">
      <formula>IF($G21="T",TRUE,FALSE)</formula>
    </cfRule>
  </conditionalFormatting>
  <conditionalFormatting sqref="E39">
    <cfRule type="expression" priority="53" dxfId="35">
      <formula>IF($G39="I",TRUE,FALSE)</formula>
    </cfRule>
    <cfRule type="expression" priority="54" dxfId="34">
      <formula>IF($G39="T",TRUE,FALSE)</formula>
    </cfRule>
  </conditionalFormatting>
  <conditionalFormatting sqref="E40">
    <cfRule type="expression" priority="51" dxfId="35">
      <formula>IF($G40="I",TRUE,FALSE)</formula>
    </cfRule>
    <cfRule type="expression" priority="52" dxfId="34">
      <formula>IF($G40="T",TRUE,FALSE)</formula>
    </cfRule>
  </conditionalFormatting>
  <conditionalFormatting sqref="E18">
    <cfRule type="expression" priority="43" dxfId="35">
      <formula>IF($G18="I",TRUE,FALSE)</formula>
    </cfRule>
    <cfRule type="expression" priority="44" dxfId="34">
      <formula>IF($G18="T",TRUE,FALSE)</formula>
    </cfRule>
  </conditionalFormatting>
  <conditionalFormatting sqref="E17">
    <cfRule type="expression" priority="45" dxfId="35">
      <formula>IF($G17="I",TRUE,FALSE)</formula>
    </cfRule>
    <cfRule type="expression" priority="46" dxfId="34">
      <formula>IF($G17="T",TRUE,FALSE)</formula>
    </cfRule>
  </conditionalFormatting>
  <conditionalFormatting sqref="C27:C28">
    <cfRule type="expression" priority="35" dxfId="1">
      <formula>IF($L27="I",TRUE,FALSE)</formula>
    </cfRule>
    <cfRule type="expression" priority="36" dxfId="0">
      <formula>IF($L27="T",TRUE,FALSE)</formula>
    </cfRule>
  </conditionalFormatting>
  <conditionalFormatting sqref="C29:C31">
    <cfRule type="expression" priority="33" dxfId="1">
      <formula>IF($L29="I",TRUE,FALSE)</formula>
    </cfRule>
    <cfRule type="expression" priority="34" dxfId="0">
      <formula>IF($L29="T",TRUE,FALSE)</formula>
    </cfRule>
  </conditionalFormatting>
  <conditionalFormatting sqref="A3:A12 A14:A21 A57:A66">
    <cfRule type="expression" priority="31" dxfId="1">
      <formula>IF($L3="I",TRUE,FALSE)</formula>
    </cfRule>
    <cfRule type="expression" priority="32" dxfId="0">
      <formula>IF($L3="T",TRUE,FALSE)</formula>
    </cfRule>
  </conditionalFormatting>
  <conditionalFormatting sqref="A32">
    <cfRule type="expression" priority="29" dxfId="1">
      <formula>IF($L32="I",TRUE,FALSE)</formula>
    </cfRule>
    <cfRule type="expression" priority="30" dxfId="0">
      <formula>IF($L32="T",TRUE,FALSE)</formula>
    </cfRule>
  </conditionalFormatting>
  <conditionalFormatting sqref="A48">
    <cfRule type="expression" priority="25" dxfId="1">
      <formula>IF($L48="I",TRUE,FALSE)</formula>
    </cfRule>
    <cfRule type="expression" priority="26" dxfId="0">
      <formula>IF($L48="T",TRUE,FALSE)</formula>
    </cfRule>
  </conditionalFormatting>
  <conditionalFormatting sqref="A22">
    <cfRule type="expression" priority="23" dxfId="1">
      <formula>IF($L22="I",TRUE,FALSE)</formula>
    </cfRule>
    <cfRule type="expression" priority="24" dxfId="0">
      <formula>IF($L22="T",TRUE,FALSE)</formula>
    </cfRule>
  </conditionalFormatting>
  <conditionalFormatting sqref="A23:A31">
    <cfRule type="expression" priority="21" dxfId="1">
      <formula>IF($L23="I",TRUE,FALSE)</formula>
    </cfRule>
    <cfRule type="expression" priority="22" dxfId="0">
      <formula>IF($L23="T",TRUE,FALSE)</formula>
    </cfRule>
  </conditionalFormatting>
  <conditionalFormatting sqref="A43">
    <cfRule type="expression" priority="19" dxfId="1">
      <formula>IF($L43="I",TRUE,FALSE)</formula>
    </cfRule>
    <cfRule type="expression" priority="20" dxfId="0">
      <formula>IF($L43="T",TRUE,FALSE)</formula>
    </cfRule>
  </conditionalFormatting>
  <conditionalFormatting sqref="A56">
    <cfRule type="expression" priority="17" dxfId="1">
      <formula>IF($L56="I",TRUE,FALSE)</formula>
    </cfRule>
    <cfRule type="expression" priority="18" dxfId="0">
      <formula>IF($L56="T",TRUE,FALSE)</formula>
    </cfRule>
  </conditionalFormatting>
  <conditionalFormatting sqref="A54:A55">
    <cfRule type="expression" priority="15" dxfId="1">
      <formula>IF($L54="I",TRUE,FALSE)</formula>
    </cfRule>
    <cfRule type="expression" priority="16" dxfId="0">
      <formula>IF($L54="T",TRUE,FALSE)</formula>
    </cfRule>
  </conditionalFormatting>
  <conditionalFormatting sqref="A13">
    <cfRule type="expression" priority="13" dxfId="1">
      <formula>IF($L13="I",TRUE,FALSE)</formula>
    </cfRule>
    <cfRule type="expression" priority="14" dxfId="0">
      <formula>IF($L13="T",TRUE,FALSE)</formula>
    </cfRule>
  </conditionalFormatting>
  <conditionalFormatting sqref="A38">
    <cfRule type="expression" priority="11" dxfId="1">
      <formula>IF($L38="I",TRUE,FALSE)</formula>
    </cfRule>
    <cfRule type="expression" priority="12" dxfId="0">
      <formula>IF($L38="T",TRUE,FALSE)</formula>
    </cfRule>
  </conditionalFormatting>
  <conditionalFormatting sqref="A51">
    <cfRule type="expression" priority="9" dxfId="1">
      <formula>IF($L51="I",TRUE,FALSE)</formula>
    </cfRule>
    <cfRule type="expression" priority="10" dxfId="0">
      <formula>IF($L51="T",TRUE,FALSE)</formula>
    </cfRule>
  </conditionalFormatting>
  <conditionalFormatting sqref="A45">
    <cfRule type="expression" priority="7" dxfId="1">
      <formula>IF($L45="I",TRUE,FALSE)</formula>
    </cfRule>
    <cfRule type="expression" priority="8" dxfId="0">
      <formula>IF($L45="T",TRUE,FALSE)</formula>
    </cfRule>
  </conditionalFormatting>
  <conditionalFormatting sqref="A58">
    <cfRule type="expression" priority="5" dxfId="1">
      <formula>IF($L58="I",TRUE,FALSE)</formula>
    </cfRule>
    <cfRule type="expression" priority="6" dxfId="0">
      <formula>IF($L58="T",TRUE,FALSE)</formula>
    </cfRule>
  </conditionalFormatting>
  <conditionalFormatting sqref="A56:A57">
    <cfRule type="expression" priority="3" dxfId="1">
      <formula>IF($L56="I",TRUE,FALSE)</formula>
    </cfRule>
    <cfRule type="expression" priority="4" dxfId="0">
      <formula>IF($L56="T",TRUE,FALSE)</formula>
    </cfRule>
  </conditionalFormatting>
  <conditionalFormatting sqref="A37">
    <cfRule type="expression" priority="1" dxfId="1">
      <formula>IF($L37="I",TRUE,FALSE)</formula>
    </cfRule>
    <cfRule type="expression" priority="2" dxfId="0">
      <formula>IF($L37="T",TRUE,FALSE)</formula>
    </cfRule>
  </conditionalFormatting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2023-02-01T13:56:34Z</cp:lastPrinted>
  <dcterms:created xsi:type="dcterms:W3CDTF">2022-07-04T16:22:37Z</dcterms:created>
  <dcterms:modified xsi:type="dcterms:W3CDTF">2023-04-10T17:07:22Z</dcterms:modified>
  <cp:category/>
  <cp:version/>
  <cp:contentType/>
  <cp:contentStatus/>
</cp:coreProperties>
</file>