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755" activeTab="1"/>
  </bookViews>
  <sheets>
    <sheet name="CRONOGRAMA" sheetId="4" r:id="rId1"/>
    <sheet name="PLANILHA " sheetId="1" r:id="rId2"/>
    <sheet name="MEMÓRIA DE CALCULO" sheetId="3" r:id="rId3"/>
  </sheets>
  <definedNames>
    <definedName name="_xlnm._FilterDatabase" localSheetId="0" hidden="1">'CRONOGRAMA'!$H$1:$H$115</definedName>
    <definedName name="_xlnm._FilterDatabase" localSheetId="1" hidden="1">'PLANILHA '!$H$1:$H$74</definedName>
    <definedName name="_xlnm.Print_Area" localSheetId="0">'CRONOGRAMA'!$A$1:$L$115</definedName>
    <definedName name="_xlnm.Print_Area" localSheetId="2">'MEMÓRIA DE CALCULO'!$B$4:$N$186</definedName>
    <definedName name="_xlnm.Print_Area" localSheetId="1">'PLANILHA '!$A$1:$I$74</definedName>
  </definedNames>
  <calcPr calcId="162913"/>
</workbook>
</file>

<file path=xl/sharedStrings.xml><?xml version="1.0" encoding="utf-8"?>
<sst xmlns="http://schemas.openxmlformats.org/spreadsheetml/2006/main" count="907" uniqueCount="330">
  <si>
    <t>OBRA:</t>
  </si>
  <si>
    <t>REFERÊNCIA:</t>
  </si>
  <si>
    <t>1.1</t>
  </si>
  <si>
    <t>1.2</t>
  </si>
  <si>
    <t>UNID</t>
  </si>
  <si>
    <t>TOTAL</t>
  </si>
  <si>
    <t>KG</t>
  </si>
  <si>
    <t>M3</t>
  </si>
  <si>
    <t>M2</t>
  </si>
  <si>
    <t>02.02.091</t>
  </si>
  <si>
    <t>TAXA DE MOBILIZAÇÃO DE EQUIPAMENTO - ESTACA</t>
  </si>
  <si>
    <t>P. UNITÁRIO (R$)</t>
  </si>
  <si>
    <t>TOTAL C/ BDI (R$)</t>
  </si>
  <si>
    <t>P. UNIT.  + BDI (R$)</t>
  </si>
  <si>
    <t>QUANT</t>
  </si>
  <si>
    <t>CÓDIGO</t>
  </si>
  <si>
    <t>12.80.030</t>
  </si>
  <si>
    <t>M</t>
  </si>
  <si>
    <t>2.1</t>
  </si>
  <si>
    <t>REPARO EM TRINCAS</t>
  </si>
  <si>
    <t xml:space="preserve">BDI: </t>
  </si>
  <si>
    <t xml:space="preserve"> 16.31.024</t>
  </si>
  <si>
    <t>ESTACA REACAO P/20T CRAVADA ALEM 5,00M DE PROFUNDIDADE</t>
  </si>
  <si>
    <t>REFORÇO DE FUNDAÇÃO - ESTACAS TIPO MEGA</t>
  </si>
  <si>
    <t>ESCAVAÇÃO</t>
  </si>
  <si>
    <t>DEMOLIÇÃO DE CONCRETO SIMPLES (MANUAL)</t>
  </si>
  <si>
    <t>02.50.001</t>
  </si>
  <si>
    <t>BDI:</t>
  </si>
  <si>
    <t>FDE</t>
  </si>
  <si>
    <t>1.1.1</t>
  </si>
  <si>
    <t>1.</t>
  </si>
  <si>
    <t>ESTACAS</t>
  </si>
  <si>
    <t>LARG</t>
  </si>
  <si>
    <t>COMP</t>
  </si>
  <si>
    <t>PROF</t>
  </si>
  <si>
    <t>ESPESSURA CONCRETO</t>
  </si>
  <si>
    <t>M PROF.</t>
  </si>
  <si>
    <t>ESCAVACAO MANUAL - PROFUNDIDADE ATE 1.80 M</t>
  </si>
  <si>
    <t>16.13.001</t>
  </si>
  <si>
    <t>m3</t>
  </si>
  <si>
    <t>1.1.2</t>
  </si>
  <si>
    <t>REFERÊNCIA</t>
  </si>
  <si>
    <t>ITEM</t>
  </si>
  <si>
    <t>DISCRIMINAÇÃO DOS SERVIÇOS</t>
  </si>
  <si>
    <t>ESTACAS TIPO MEGA</t>
  </si>
  <si>
    <t>1.2.1</t>
  </si>
  <si>
    <t>1.2.2</t>
  </si>
  <si>
    <t>1.3</t>
  </si>
  <si>
    <t>RECOMPOSIÇÃO DE PISO</t>
  </si>
  <si>
    <t>1.3.1</t>
  </si>
  <si>
    <t>1.3.2</t>
  </si>
  <si>
    <t>1.3.3</t>
  </si>
  <si>
    <t>REATERRO INTERNO APILOADO</t>
  </si>
  <si>
    <t>01.06.005</t>
  </si>
  <si>
    <t>LASTRO DE PEDRA BRITADA - 5CM</t>
  </si>
  <si>
    <t>01.07.002</t>
  </si>
  <si>
    <t>FORMAS DE MADEIRA MACICA</t>
  </si>
  <si>
    <t>16.14.006</t>
  </si>
  <si>
    <t>ALTUR</t>
  </si>
  <si>
    <t>PISO DE CONCRETO DESEMPENADO C/ REQUADRO 1.80CM E=6CM</t>
  </si>
  <si>
    <t>16.80.013</t>
  </si>
  <si>
    <t>1.3.4</t>
  </si>
  <si>
    <t>DEMOLIÇÕES E RETIRADAS</t>
  </si>
  <si>
    <t>RETIRADA DE FORRO DE PVC EM LAMINAS</t>
  </si>
  <si>
    <t>10.60.005</t>
  </si>
  <si>
    <t>12.50.002</t>
  </si>
  <si>
    <t>DEMOLIÇAO PISO GRANILITE, LADRILHO HIDRAULICO, CERAMICO, CACOS, INCLUSIVE BASE</t>
  </si>
  <si>
    <t>RETIRADA DE ESTRUT DE MADEIRA EM TESOURA PARA TELHAS DE BARRO SOBRE VAO LIVRE</t>
  </si>
  <si>
    <t>07.60.002</t>
  </si>
  <si>
    <t>RETIRADA DE TELHAS DE BARRO</t>
  </si>
  <si>
    <t>07.60.050</t>
  </si>
  <si>
    <t>RETIRADA DE MÁRMORE PEDRAS OU GRANITOS INCL DEMOLICÃO ARGAMASSA ASSENTAMENTO</t>
  </si>
  <si>
    <t>12.60.001</t>
  </si>
  <si>
    <t>3.</t>
  </si>
  <si>
    <t>3.1</t>
  </si>
  <si>
    <t>3.2</t>
  </si>
  <si>
    <t>TRAMA DE AÇO COMPOSTA POR TERÇAS PARA TELHADOS DE ATÉ 2 ÁGUAS PARA TELHA ONDULADA DE FIBROCIMENTO, METÁLICA, PLÁSTICA OU TERMOACÚSTICA, INCLUSO TRANSPORTE VERTICAL. AF_07/2019</t>
  </si>
  <si>
    <t>SINAPI</t>
  </si>
  <si>
    <t>4.1</t>
  </si>
  <si>
    <t>TELHA GALVALUME / ACO GALV ACAB. NATURAL ONDULADA CRFS E=0,65MM</t>
  </si>
  <si>
    <t>07.03.132</t>
  </si>
  <si>
    <t>4.2</t>
  </si>
  <si>
    <t>DEMOLIÇÃO DE ALVENARIAS EM GERAL E ELEMENTOS VAZADOS,INCL REVESTIMENTOS</t>
  </si>
  <si>
    <t>04.50.001</t>
  </si>
  <si>
    <t>ESPESSURA</t>
  </si>
  <si>
    <t>RUFO P/ TELHA TECNOLOGIA CRFS ONDULADA</t>
  </si>
  <si>
    <t>07.80.050</t>
  </si>
  <si>
    <t>RECOLOCAÇÃO DE BANCADAS EM GRANITO</t>
  </si>
  <si>
    <t>4.3</t>
  </si>
  <si>
    <t>4.4</t>
  </si>
  <si>
    <t>TAMPO DE PIA EM GRANITO E=2CM</t>
  </si>
  <si>
    <t>05.82.010</t>
  </si>
  <si>
    <t>5.1</t>
  </si>
  <si>
    <t>LAVATORIO BRANCO SEM COLUNA 33X45CM</t>
  </si>
  <si>
    <t>FDE INSUMO</t>
  </si>
  <si>
    <t>FORRO EM LÂMINA DE PVC 200MM E = 7 OU 8MM</t>
  </si>
  <si>
    <t>10.01.082</t>
  </si>
  <si>
    <t>4.5</t>
  </si>
  <si>
    <t>PISO</t>
  </si>
  <si>
    <t>REGULARIZACAO DE SUPERFICIE P/ PREPARO IMPERM 1:3 E=2,5CM</t>
  </si>
  <si>
    <t>11.02.066</t>
  </si>
  <si>
    <t>REVESTIMENTO CERÂMICO PARA PISO COM PLACAS TIPO ESMALTADA EXTRA DE DIMENSÕES 45X45 CM APLICADA EM AMBIENTES DE ÁREA MAIOR QUE 10 M2. AF_06/2014</t>
  </si>
  <si>
    <t>6.1</t>
  </si>
  <si>
    <t>6.2</t>
  </si>
  <si>
    <t>5.2</t>
  </si>
  <si>
    <t>SANITÁRIOS</t>
  </si>
  <si>
    <t>ÁREA DE SERVIÇO</t>
  </si>
  <si>
    <t>3.1.1</t>
  </si>
  <si>
    <t>3.1.2</t>
  </si>
  <si>
    <t>3.1.3</t>
  </si>
  <si>
    <t>3.1.4</t>
  </si>
  <si>
    <t>3.1.5</t>
  </si>
  <si>
    <t>08.60.011</t>
  </si>
  <si>
    <t>UNID.</t>
  </si>
  <si>
    <t>RETIRADA DE APARELHOS SANITÁRIOS INCLUINDO ACESSÓRIOS (TANQUE)</t>
  </si>
  <si>
    <t>3.2.1</t>
  </si>
  <si>
    <t>3.2.2</t>
  </si>
  <si>
    <t>3.2.3</t>
  </si>
  <si>
    <t>RETIRADA DE TELHAS OND DE FIBRO-CIM/PLAST OU ALUM/PLANA PRE FAB</t>
  </si>
  <si>
    <t>07.60.060</t>
  </si>
  <si>
    <t>RETIRADA DE VIGAMENTO DE APOIO P/TELHAS DE BARRO/FIBRO-CIM/AL/PLAST/PLANA PRE-FAB</t>
  </si>
  <si>
    <t>07.60.010</t>
  </si>
  <si>
    <t>3.2.4</t>
  </si>
  <si>
    <t>3.2.5</t>
  </si>
  <si>
    <t>PISO SANITÁRIOS</t>
  </si>
  <si>
    <t>CONSTRUÇÃO ÁREA DE SERVIÇO</t>
  </si>
  <si>
    <t>RECONSTRUÇÃO TELHADO SANITÁRIOS E ÁREA DE SERVIÇO</t>
  </si>
  <si>
    <t>7.1</t>
  </si>
  <si>
    <t>INFRAESTRUTURA</t>
  </si>
  <si>
    <t>BROCA DE CONCRETO DE DIAMETRO 25CM - INCL ARRANQUES</t>
  </si>
  <si>
    <t>02.02.026</t>
  </si>
  <si>
    <t>ACO CA-50 (A OU B) FYK = 500 MPA</t>
  </si>
  <si>
    <t>02.02.021</t>
  </si>
  <si>
    <t>16.13.015</t>
  </si>
  <si>
    <t>16.13.026</t>
  </si>
  <si>
    <t>CONCRETO DOSADO E LANCADO FCK=25 MPA</t>
  </si>
  <si>
    <t>16.14.038</t>
  </si>
  <si>
    <t>SUPERESTRUTURA</t>
  </si>
  <si>
    <t>7.2</t>
  </si>
  <si>
    <t>ALVENARIA DE BLOCO CERAMICO PORTANTE E=14CM</t>
  </si>
  <si>
    <t>04.01.042</t>
  </si>
  <si>
    <t>CHAPISCO</t>
  </si>
  <si>
    <t>12.02.002</t>
  </si>
  <si>
    <t>EMBOCO</t>
  </si>
  <si>
    <t>12.02.005</t>
  </si>
  <si>
    <t>REBOCO</t>
  </si>
  <si>
    <t>12.02.007</t>
  </si>
  <si>
    <t>7.3</t>
  </si>
  <si>
    <t>ESQUADRIAS</t>
  </si>
  <si>
    <t>PM-04 PORTA DE MADEIRA SARRAFEADA P/ PINT. BAT. MADEIRA L=82CM</t>
  </si>
  <si>
    <t>05.01.004</t>
  </si>
  <si>
    <t>JANELA DE AÇO TIPO BASCULANTE PARA VIDROS, COM BATENTE, FERRAGENS E PINTURA ANTICORROSIVA. EXCLUSIVE VIDROS, ACABAMENTO, ALIZAR E CONTRAMARCO. FORNECIMENTO E INSTALAÇÃO. AF_12/2019</t>
  </si>
  <si>
    <t>JANELA DE AÇO DE CORRER COM 4 FOLHAS PARA VIDRO, COM BATENTE, FERRAGENS E PINTURA ANTICORROSIVA. EXCLUSIVE VIDROS, ALIZAR E CONTRAMARCO. FORNECIMENTO E INSTALAÇÃO. AF_12/2019</t>
  </si>
  <si>
    <t>VIDRO LISO COMUM INCOLOR DE 4MM</t>
  </si>
  <si>
    <t>14.01.004</t>
  </si>
  <si>
    <t>7.4</t>
  </si>
  <si>
    <t>INSTALAÇÕES HIDRÁULICAS</t>
  </si>
  <si>
    <t>INSTALAÇÕES ELÉTRICAS</t>
  </si>
  <si>
    <t>TANQUE DE LOUCA BRANCA,PEQUENO C/COLUNA</t>
  </si>
  <si>
    <t>08.16.045</t>
  </si>
  <si>
    <t>7.5</t>
  </si>
  <si>
    <t>ALVENARIA E REVESTIMENTOS</t>
  </si>
  <si>
    <t>REVESTIMENTO COM AZULEJOS RETIFICADOS LISOS BRANCO BRILHANTE</t>
  </si>
  <si>
    <t>12.02.036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</si>
  <si>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</si>
  <si>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</si>
  <si>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</si>
  <si>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</si>
  <si>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</si>
  <si>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</si>
  <si>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</si>
  <si>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</si>
  <si>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</si>
  <si>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</si>
  <si>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7.3.1</t>
  </si>
  <si>
    <t>7.3.2</t>
  </si>
  <si>
    <t>7.3.3</t>
  </si>
  <si>
    <t>7.3.4</t>
  </si>
  <si>
    <t>7.3.5</t>
  </si>
  <si>
    <t>7.4.1</t>
  </si>
  <si>
    <t>APILOAMENTO PARA SIMPLES REGULARIZACAO</t>
  </si>
  <si>
    <t>16.13.010</t>
  </si>
  <si>
    <t>LASTRO DE CONCRETO - 5CM</t>
  </si>
  <si>
    <t>16.13.025</t>
  </si>
  <si>
    <t>7.2.4</t>
  </si>
  <si>
    <t>VERGA / CINTA EM BLOCO DE CONCRETO CANALETA 14X19X39 CM</t>
  </si>
  <si>
    <t>16.15.003</t>
  </si>
  <si>
    <t>7.6</t>
  </si>
  <si>
    <t>7.6.1</t>
  </si>
  <si>
    <t>7.6.2</t>
  </si>
  <si>
    <t>7.6.3</t>
  </si>
  <si>
    <t>7.6.4</t>
  </si>
  <si>
    <t>7.5.1</t>
  </si>
  <si>
    <t>7.5.2</t>
  </si>
  <si>
    <t>7.5.3</t>
  </si>
  <si>
    <t>7.5.4</t>
  </si>
  <si>
    <t>7.4.2</t>
  </si>
  <si>
    <t>7.4.4</t>
  </si>
  <si>
    <t>7.4.3</t>
  </si>
  <si>
    <t>PINTURA</t>
  </si>
  <si>
    <t>15.02.025</t>
  </si>
  <si>
    <t>8.1</t>
  </si>
  <si>
    <t>8.1.1</t>
  </si>
  <si>
    <t>m</t>
  </si>
  <si>
    <t>perimetro</t>
  </si>
  <si>
    <t>m2</t>
  </si>
  <si>
    <t>total</t>
  </si>
  <si>
    <t>TINTA LATEX STANDARD (PINTURA INTERNA)</t>
  </si>
  <si>
    <t>TINTA LATEX STANDARD (PINTURA EXTERNA)</t>
  </si>
  <si>
    <t>8.1.2</t>
  </si>
  <si>
    <t>SANITÁRIOS E  A.S.</t>
  </si>
  <si>
    <t>ESMALTE EM ESQUADRIAS DE FERRO</t>
  </si>
  <si>
    <t>15.03.021</t>
  </si>
  <si>
    <t>15.02.019</t>
  </si>
  <si>
    <t>8.2</t>
  </si>
  <si>
    <t>COZINHA E CHURRASQUEIRA</t>
  </si>
  <si>
    <t>ESMALTE (PORTA A.S.)</t>
  </si>
  <si>
    <t>ESMALTE EM ESQUADRIAS DE FERRO (NOVAS A.S.)</t>
  </si>
  <si>
    <t>8.1.3</t>
  </si>
  <si>
    <t>8.1.4</t>
  </si>
  <si>
    <t>8.2.1</t>
  </si>
  <si>
    <t>descontar</t>
  </si>
  <si>
    <t>portas</t>
  </si>
  <si>
    <t>vitros</t>
  </si>
  <si>
    <t>8.2.2</t>
  </si>
  <si>
    <t>Tietê, 23 de maio de 2022</t>
  </si>
  <si>
    <t>ALVARO FLORIAM GEBRAIEL BELLAZ</t>
  </si>
  <si>
    <t>ENGENHEIRO CIVIL</t>
  </si>
  <si>
    <t>CREA: 507.011.280-5</t>
  </si>
  <si>
    <t>SECRETÁRIO DE OBRAS E PLANEJAMENTO</t>
  </si>
  <si>
    <t>7.7</t>
  </si>
  <si>
    <t>7.7.1</t>
  </si>
  <si>
    <t>7.7.2</t>
  </si>
  <si>
    <t>7.7.3</t>
  </si>
  <si>
    <t>7.7.4</t>
  </si>
  <si>
    <t>REFORMA E REFORÇO DE FUNDAÇÃO - CRAS POVO FELIZ</t>
  </si>
  <si>
    <t>INTERRUPTOR DE 1 TECLA SIMPLES EM CX.4"X2"-ELETROD.AÇO GALV.A QUENTE</t>
  </si>
  <si>
    <t>09.08.002</t>
  </si>
  <si>
    <t>TOMADA 2P+T PADRAO NBR 14136, CORRENTE 10A-250V-ELETR. AÇO GALV. A QUENTE</t>
  </si>
  <si>
    <t>09.08.013</t>
  </si>
  <si>
    <t>CABO COBRE FLEXÍVEL MULTIPOLAR PP 3x2,5 mm2 0,6/1KV</t>
  </si>
  <si>
    <t>16.85.084</t>
  </si>
  <si>
    <t>7.6.5</t>
  </si>
  <si>
    <t>CABO COBRE FLEXÍVEL MULTIPOLAR PP 3x1,5 mm2 0,6/1KV</t>
  </si>
  <si>
    <t>16.85.085</t>
  </si>
  <si>
    <t>ELETRODUTO EM POLIETILENO DE 32MM-INCLUSIVE CONEXOES</t>
  </si>
  <si>
    <t>09.03.059</t>
  </si>
  <si>
    <t>CAIXA SIFONADA DE PVC DN 100X150X50MM C/GRELHA PVC CROMADO</t>
  </si>
  <si>
    <t>08.10.004</t>
  </si>
  <si>
    <t>TUBO PVC NORMAL "SN" JUNTA ELÁSTICA DN 50 INCL CONEXÕES</t>
  </si>
  <si>
    <t>08.09.016</t>
  </si>
  <si>
    <t>TUBO PVC NORMAL "SN" JUNTA ELÁSTICA DN 100 INCL CONEXÕES</t>
  </si>
  <si>
    <t>08.09.018</t>
  </si>
  <si>
    <t>7.5.5</t>
  </si>
  <si>
    <t>FDE ABRIL/ 2022 E SINAPI 04/2022</t>
  </si>
  <si>
    <t>ATERRO COM TRANSPORTE POR CAMINHAO NOS PRIMEIROS 100 M</t>
  </si>
  <si>
    <t>01.03.004</t>
  </si>
  <si>
    <t>1º MÊS</t>
  </si>
  <si>
    <t>2º MÊS</t>
  </si>
  <si>
    <t>3º MÊS</t>
  </si>
  <si>
    <t>CRONOGRAMA FÍSICO-FINANCEIRO</t>
  </si>
  <si>
    <t>REFORMA, REFORÇO DE FUNDAÇÃO E AMPLIAÇÃO - CRAS POVO FELIZ</t>
  </si>
  <si>
    <t>1.1.3</t>
  </si>
  <si>
    <t>1.3.5</t>
  </si>
  <si>
    <t>1.3.6</t>
  </si>
  <si>
    <t>COZINHA</t>
  </si>
  <si>
    <t>DEMOLIÇÃO DE LASTRO DE CONCRETO SIMPLES (MANUAL)</t>
  </si>
  <si>
    <t>02.50.002</t>
  </si>
  <si>
    <t>Aterro manual apiloado de área interna com maço de 30 kg</t>
  </si>
  <si>
    <t>06.12.020</t>
  </si>
  <si>
    <t>CDHU</t>
  </si>
  <si>
    <t>3.1.6</t>
  </si>
  <si>
    <t>3.1.7</t>
  </si>
  <si>
    <t>CANTINA</t>
  </si>
  <si>
    <t>DEMOLIÇÃO DE REVEST DE AZULEJOS, PASTILHAS E LADRILHOS INCL ARG ASSENTAMENTO</t>
  </si>
  <si>
    <t>12.04.004</t>
  </si>
  <si>
    <t>12.04.005</t>
  </si>
  <si>
    <t>Placa cerâmica esmaltada PEI-5 para área interna, grupo de absorção BIIb, resistência química B, assentado com argamassa colante industrializada</t>
  </si>
  <si>
    <t>18.06.102</t>
  </si>
  <si>
    <t>PERÍMETRO</t>
  </si>
  <si>
    <t>PÉ DIREITO</t>
  </si>
  <si>
    <t>vitro</t>
  </si>
  <si>
    <t>porta</t>
  </si>
  <si>
    <t>abertura</t>
  </si>
  <si>
    <t>3.3</t>
  </si>
  <si>
    <t>REFEITÓRIO</t>
  </si>
  <si>
    <t>DEMOLIÇÃO DE REVESTIMENTO EM ARGAMASSA/GESSO EM FORRO E PAREDES</t>
  </si>
  <si>
    <t>12.50.001</t>
  </si>
  <si>
    <t>IMPERMEABILIZACAO C/ EMULSAO ACRILICA - 6 DEMAOS</t>
  </si>
  <si>
    <t>11.02.027</t>
  </si>
  <si>
    <t>3.3.1</t>
  </si>
  <si>
    <t>3.3.2</t>
  </si>
  <si>
    <t>3.3.3</t>
  </si>
  <si>
    <t>3.3.4</t>
  </si>
  <si>
    <t>3.3.5</t>
  </si>
  <si>
    <t>altura</t>
  </si>
  <si>
    <t>SERVIÇOS INTERNOS</t>
  </si>
  <si>
    <t>PISO EXTERNO</t>
  </si>
  <si>
    <t>REPARO COBERTURA</t>
  </si>
  <si>
    <t>DEMOLIÇÃO DE CALHAS E RUFOS EM CHAPAS METALICAS</t>
  </si>
  <si>
    <t>08.50.020</t>
  </si>
  <si>
    <t>CALHA OU AGUA FURTADA EM CHAPA GALV. N 24 - CORTE 0,33M</t>
  </si>
  <si>
    <t>08.12.015</t>
  </si>
  <si>
    <t>3.4</t>
  </si>
  <si>
    <t>SALA</t>
  </si>
  <si>
    <t>RETIRADA DE FOLHAS DE PORTAS OU JANELAS</t>
  </si>
  <si>
    <t>05.60.001</t>
  </si>
  <si>
    <t>RETIRADA DE BATENTES DE ESQUADRIAS DE MADEIRA</t>
  </si>
  <si>
    <t>05.60.005</t>
  </si>
  <si>
    <t>3.4.1</t>
  </si>
  <si>
    <t>3.4.2</t>
  </si>
  <si>
    <t>3.4.3</t>
  </si>
  <si>
    <t>6.3</t>
  </si>
  <si>
    <t>6.4</t>
  </si>
  <si>
    <t>6.5</t>
  </si>
  <si>
    <t>sala 01</t>
  </si>
  <si>
    <t>perímetro</t>
  </si>
  <si>
    <t>pé direito</t>
  </si>
  <si>
    <t>area</t>
  </si>
  <si>
    <t>sala 02</t>
  </si>
  <si>
    <t>sala 03</t>
  </si>
  <si>
    <t>sala 04</t>
  </si>
  <si>
    <t>sala 05</t>
  </si>
  <si>
    <t>corredor</t>
  </si>
  <si>
    <t>refeitório</t>
  </si>
  <si>
    <t xml:space="preserve">ESMALTE </t>
  </si>
  <si>
    <t>lados</t>
  </si>
  <si>
    <t>Tietê, 02 de junho de 2022</t>
  </si>
  <si>
    <t>REFORÇO DE FUNDAÇÃO PRÉDIO ANEXO LUIZ ANTUNES</t>
  </si>
  <si>
    <t>REVESTIMENTO CERÂMICO PARA PISO COM PLACAS TIPO ESMALTADA EXTRA DE DIMENSÕES 45X45 CM APLICADA EM AMBIENTES DE ÁREA MENOR QUE 5,0 M2. AF_06/2014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</si>
</sst>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4">
    <font>
      <sz val="10"/>
      <color rgb="FF000000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rgb="FF000000"/>
      <name val="Times New Roman"/>
      <family val="1"/>
    </font>
    <font>
      <b/>
      <u val="single"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MS Sans Serif"/>
      <family val="2"/>
    </font>
    <font>
      <sz val="11"/>
      <color indexed="8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rgb="FF000000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b/>
      <u val="single"/>
      <sz val="10"/>
      <color rgb="FF000000"/>
      <name val="Calibri"/>
      <family val="2"/>
      <scheme val="minor"/>
    </font>
    <font>
      <b/>
      <sz val="9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43" fontId="10" fillId="0" borderId="0" applyFont="0" applyFill="0" applyBorder="0" applyAlignment="0" applyProtection="0"/>
    <xf numFmtId="0" fontId="10" fillId="0" borderId="0">
      <alignment/>
      <protection/>
    </xf>
  </cellStyleXfs>
  <cellXfs count="159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3" fontId="4" fillId="0" borderId="0" xfId="2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left" vertical="center"/>
    </xf>
    <xf numFmtId="43" fontId="4" fillId="0" borderId="0" xfId="2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10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0" fontId="3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left" vertical="top"/>
    </xf>
    <xf numFmtId="43" fontId="4" fillId="0" borderId="0" xfId="2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vertical="top" wrapText="1"/>
    </xf>
    <xf numFmtId="4" fontId="1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wrapText="1"/>
    </xf>
    <xf numFmtId="10" fontId="4" fillId="0" borderId="0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top" shrinkToFi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43" fontId="15" fillId="3" borderId="2" xfId="20" applyFont="1" applyFill="1" applyBorder="1" applyAlignment="1">
      <alignment horizontal="center" vertical="center" wrapText="1"/>
    </xf>
    <xf numFmtId="1" fontId="16" fillId="3" borderId="3" xfId="0" applyNumberFormat="1" applyFont="1" applyFill="1" applyBorder="1" applyAlignment="1">
      <alignment horizontal="left" vertical="center" shrinkToFit="1"/>
    </xf>
    <xf numFmtId="0" fontId="17" fillId="3" borderId="4" xfId="0" applyFont="1" applyFill="1" applyBorder="1" applyAlignment="1">
      <alignment vertical="center"/>
    </xf>
    <xf numFmtId="1" fontId="16" fillId="3" borderId="4" xfId="0" applyNumberFormat="1" applyFont="1" applyFill="1" applyBorder="1" applyAlignment="1">
      <alignment horizontal="left" vertical="center" shrinkToFit="1"/>
    </xf>
    <xf numFmtId="0" fontId="17" fillId="3" borderId="4" xfId="0" applyFont="1" applyFill="1" applyBorder="1" applyAlignment="1">
      <alignment vertical="center" wrapText="1"/>
    </xf>
    <xf numFmtId="43" fontId="17" fillId="3" borderId="4" xfId="0" applyNumberFormat="1" applyFont="1" applyFill="1" applyBorder="1" applyAlignment="1">
      <alignment vertical="center" wrapText="1"/>
    </xf>
    <xf numFmtId="43" fontId="17" fillId="3" borderId="5" xfId="0" applyNumberFormat="1" applyFont="1" applyFill="1" applyBorder="1" applyAlignment="1">
      <alignment vertical="center" wrapText="1"/>
    </xf>
    <xf numFmtId="1" fontId="16" fillId="0" borderId="6" xfId="0" applyNumberFormat="1" applyFont="1" applyFill="1" applyBorder="1" applyAlignment="1">
      <alignment horizontal="left" vertical="top" shrinkToFit="1"/>
    </xf>
    <xf numFmtId="0" fontId="17" fillId="0" borderId="7" xfId="0" applyFont="1" applyFill="1" applyBorder="1" applyAlignment="1">
      <alignment vertical="top"/>
    </xf>
    <xf numFmtId="1" fontId="16" fillId="0" borderId="7" xfId="0" applyNumberFormat="1" applyFont="1" applyFill="1" applyBorder="1" applyAlignment="1">
      <alignment horizontal="center" vertical="top" shrinkToFit="1"/>
    </xf>
    <xf numFmtId="0" fontId="17" fillId="0" borderId="7" xfId="0" applyFont="1" applyFill="1" applyBorder="1" applyAlignment="1">
      <alignment vertical="top" wrapText="1"/>
    </xf>
    <xf numFmtId="0" fontId="18" fillId="0" borderId="7" xfId="0" applyFont="1" applyFill="1" applyBorder="1" applyAlignment="1">
      <alignment vertical="top" wrapText="1"/>
    </xf>
    <xf numFmtId="43" fontId="18" fillId="0" borderId="7" xfId="0" applyNumberFormat="1" applyFont="1" applyFill="1" applyBorder="1" applyAlignment="1">
      <alignment vertical="top" wrapText="1"/>
    </xf>
    <xf numFmtId="43" fontId="17" fillId="0" borderId="8" xfId="0" applyNumberFormat="1" applyFont="1" applyFill="1" applyBorder="1" applyAlignment="1">
      <alignment vertical="top" wrapText="1"/>
    </xf>
    <xf numFmtId="1" fontId="14" fillId="0" borderId="1" xfId="0" applyNumberFormat="1" applyFont="1" applyFill="1" applyBorder="1" applyAlignment="1">
      <alignment horizontal="left" vertical="top" shrinkToFit="1"/>
    </xf>
    <xf numFmtId="1" fontId="14" fillId="0" borderId="1" xfId="0" applyNumberFormat="1" applyFont="1" applyFill="1" applyBorder="1" applyAlignment="1">
      <alignment horizontal="center" vertical="top" shrinkToFit="1"/>
    </xf>
    <xf numFmtId="0" fontId="18" fillId="0" borderId="1" xfId="0" applyFont="1" applyFill="1" applyBorder="1" applyAlignment="1">
      <alignment horizontal="center" vertical="top" wrapText="1"/>
    </xf>
    <xf numFmtId="43" fontId="18" fillId="0" borderId="1" xfId="0" applyNumberFormat="1" applyFont="1" applyFill="1" applyBorder="1" applyAlignment="1">
      <alignment vertical="top" wrapText="1"/>
    </xf>
    <xf numFmtId="1" fontId="16" fillId="0" borderId="9" xfId="0" applyNumberFormat="1" applyFont="1" applyFill="1" applyBorder="1" applyAlignment="1">
      <alignment horizontal="left" vertical="top" shrinkToFit="1"/>
    </xf>
    <xf numFmtId="0" fontId="17" fillId="0" borderId="0" xfId="0" applyFont="1" applyFill="1" applyBorder="1" applyAlignment="1">
      <alignment vertical="top"/>
    </xf>
    <xf numFmtId="1" fontId="16" fillId="0" borderId="0" xfId="0" applyNumberFormat="1" applyFont="1" applyFill="1" applyBorder="1" applyAlignment="1">
      <alignment horizontal="center" vertical="top" shrinkToFit="1"/>
    </xf>
    <xf numFmtId="0" fontId="17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43" fontId="18" fillId="0" borderId="0" xfId="0" applyNumberFormat="1" applyFont="1" applyFill="1" applyBorder="1" applyAlignment="1">
      <alignment vertical="top" wrapText="1"/>
    </xf>
    <xf numFmtId="43" fontId="17" fillId="0" borderId="10" xfId="0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43" fontId="14" fillId="0" borderId="1" xfId="20" applyNumberFormat="1" applyFont="1" applyFill="1" applyBorder="1" applyAlignment="1">
      <alignment horizontal="right" vertical="center" shrinkToFi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3" fontId="14" fillId="0" borderId="11" xfId="20" applyNumberFormat="1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left" vertical="top"/>
    </xf>
    <xf numFmtId="4" fontId="16" fillId="4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vertical="center" wrapText="1"/>
    </xf>
    <xf numFmtId="43" fontId="18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2" fontId="15" fillId="3" borderId="2" xfId="0" applyNumberFormat="1" applyFont="1" applyFill="1" applyBorder="1" applyAlignment="1">
      <alignment horizontal="center" vertical="center" wrapText="1"/>
    </xf>
    <xf numFmtId="2" fontId="17" fillId="3" borderId="4" xfId="0" applyNumberFormat="1" applyFont="1" applyFill="1" applyBorder="1" applyAlignment="1">
      <alignment horizontal="center" vertical="center" wrapText="1"/>
    </xf>
    <xf numFmtId="2" fontId="18" fillId="0" borderId="7" xfId="0" applyNumberFormat="1" applyFont="1" applyFill="1" applyBorder="1" applyAlignment="1">
      <alignment horizontal="center" vertical="top" wrapText="1"/>
    </xf>
    <xf numFmtId="2" fontId="18" fillId="0" borderId="1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/>
    </xf>
    <xf numFmtId="43" fontId="18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/>
    </xf>
    <xf numFmtId="0" fontId="0" fillId="5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 wrapText="1"/>
    </xf>
    <xf numFmtId="43" fontId="18" fillId="0" borderId="3" xfId="0" applyNumberFormat="1" applyFont="1" applyFill="1" applyBorder="1" applyAlignment="1">
      <alignment vertical="top" wrapText="1"/>
    </xf>
    <xf numFmtId="43" fontId="14" fillId="0" borderId="3" xfId="20" applyNumberFormat="1" applyFont="1" applyFill="1" applyBorder="1" applyAlignment="1">
      <alignment horizontal="right" vertical="center" shrinkToFit="1"/>
    </xf>
    <xf numFmtId="43" fontId="14" fillId="0" borderId="6" xfId="20" applyNumberFormat="1" applyFont="1" applyFill="1" applyBorder="1" applyAlignment="1">
      <alignment horizontal="right" vertical="center" shrinkToFit="1"/>
    </xf>
    <xf numFmtId="43" fontId="18" fillId="0" borderId="3" xfId="0" applyNumberFormat="1" applyFont="1" applyFill="1" applyBorder="1" applyAlignment="1">
      <alignment vertical="center" wrapText="1"/>
    </xf>
    <xf numFmtId="43" fontId="18" fillId="0" borderId="3" xfId="0" applyNumberFormat="1" applyFont="1" applyFill="1" applyBorder="1" applyAlignment="1">
      <alignment horizontal="center" vertical="center" wrapText="1"/>
    </xf>
    <xf numFmtId="43" fontId="17" fillId="3" borderId="1" xfId="0" applyNumberFormat="1" applyFont="1" applyFill="1" applyBorder="1" applyAlignment="1">
      <alignment vertical="center" wrapText="1"/>
    </xf>
    <xf numFmtId="43" fontId="17" fillId="0" borderId="1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43" fontId="14" fillId="0" borderId="1" xfId="0" applyNumberFormat="1" applyFont="1" applyFill="1" applyBorder="1" applyAlignment="1">
      <alignment horizontal="left"/>
    </xf>
    <xf numFmtId="43" fontId="18" fillId="0" borderId="1" xfId="0" applyNumberFormat="1" applyFont="1" applyFill="1" applyBorder="1" applyAlignment="1">
      <alignment horizontal="right" wrapText="1"/>
    </xf>
    <xf numFmtId="43" fontId="14" fillId="0" borderId="1" xfId="20" applyNumberFormat="1" applyFont="1" applyFill="1" applyBorder="1" applyAlignment="1">
      <alignment horizontal="left" wrapText="1"/>
    </xf>
    <xf numFmtId="43" fontId="14" fillId="0" borderId="1" xfId="0" applyNumberFormat="1" applyFont="1" applyFill="1" applyBorder="1" applyAlignment="1">
      <alignment horizontal="left" wrapText="1"/>
    </xf>
    <xf numFmtId="43" fontId="18" fillId="0" borderId="0" xfId="0" applyNumberFormat="1" applyFont="1" applyFill="1" applyBorder="1" applyAlignment="1">
      <alignment horizontal="right" vertical="center" wrapText="1"/>
    </xf>
    <xf numFmtId="43" fontId="14" fillId="0" borderId="0" xfId="0" applyNumberFormat="1" applyFont="1" applyFill="1" applyBorder="1" applyAlignment="1">
      <alignment horizontal="left" vertical="center"/>
    </xf>
    <xf numFmtId="43" fontId="16" fillId="0" borderId="1" xfId="0" applyNumberFormat="1" applyFont="1" applyFill="1" applyBorder="1" applyAlignment="1">
      <alignment horizontal="right" vertical="center"/>
    </xf>
    <xf numFmtId="43" fontId="16" fillId="0" borderId="1" xfId="0" applyNumberFormat="1" applyFont="1" applyFill="1" applyBorder="1" applyAlignment="1">
      <alignment horizontal="left" vertical="center"/>
    </xf>
    <xf numFmtId="43" fontId="18" fillId="0" borderId="1" xfId="0" applyNumberFormat="1" applyFont="1" applyFill="1" applyBorder="1" applyAlignment="1">
      <alignment wrapText="1"/>
    </xf>
    <xf numFmtId="43" fontId="18" fillId="0" borderId="1" xfId="0" applyNumberFormat="1" applyFont="1" applyFill="1" applyBorder="1" applyAlignment="1">
      <alignment horizontal="left" wrapText="1"/>
    </xf>
    <xf numFmtId="43" fontId="4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/>
    </xf>
    <xf numFmtId="1" fontId="14" fillId="0" borderId="3" xfId="0" applyNumberFormat="1" applyFont="1" applyFill="1" applyBorder="1" applyAlignment="1">
      <alignment horizontal="left" vertical="center" shrinkToFit="1"/>
    </xf>
    <xf numFmtId="43" fontId="4" fillId="0" borderId="0" xfId="2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4" fontId="16" fillId="4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Normal 2" xfId="21"/>
    <cellStyle name="Normal 4" xfId="22"/>
    <cellStyle name="Normal 3" xfId="23"/>
    <cellStyle name="Vírgula 2" xfId="24"/>
    <cellStyle name="Normal 2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8</xdr:col>
      <xdr:colOff>276225</xdr:colOff>
      <xdr:row>6</xdr:row>
      <xdr:rowOff>38100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rcRect l="28753" t="22447" r="30865" b="61772"/>
        <a:stretch>
          <a:fillRect/>
        </a:stretch>
      </xdr:blipFill>
      <xdr:spPr>
        <a:xfrm>
          <a:off x="76200" y="57150"/>
          <a:ext cx="4286250" cy="952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133350</xdr:colOff>
      <xdr:row>13</xdr:row>
      <xdr:rowOff>95250</xdr:rowOff>
    </xdr:from>
    <xdr:to>
      <xdr:col>9</xdr:col>
      <xdr:colOff>847725</xdr:colOff>
      <xdr:row>13</xdr:row>
      <xdr:rowOff>95250</xdr:rowOff>
    </xdr:to>
    <xdr:cxnSp macro="">
      <xdr:nvCxnSpPr>
        <xdr:cNvPr id="4" name="Conector reto 3"/>
        <xdr:cNvCxnSpPr/>
      </xdr:nvCxnSpPr>
      <xdr:spPr>
        <a:xfrm>
          <a:off x="5038725" y="2552700"/>
          <a:ext cx="71437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25</xdr:row>
      <xdr:rowOff>95250</xdr:rowOff>
    </xdr:from>
    <xdr:to>
      <xdr:col>9</xdr:col>
      <xdr:colOff>857250</xdr:colOff>
      <xdr:row>25</xdr:row>
      <xdr:rowOff>95250</xdr:rowOff>
    </xdr:to>
    <xdr:cxnSp macro="">
      <xdr:nvCxnSpPr>
        <xdr:cNvPr id="5" name="Conector reto 4"/>
        <xdr:cNvCxnSpPr/>
      </xdr:nvCxnSpPr>
      <xdr:spPr>
        <a:xfrm>
          <a:off x="5038725" y="2838450"/>
          <a:ext cx="7239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27</xdr:row>
      <xdr:rowOff>114300</xdr:rowOff>
    </xdr:from>
    <xdr:to>
      <xdr:col>9</xdr:col>
      <xdr:colOff>857250</xdr:colOff>
      <xdr:row>27</xdr:row>
      <xdr:rowOff>114300</xdr:rowOff>
    </xdr:to>
    <xdr:cxnSp macro="">
      <xdr:nvCxnSpPr>
        <xdr:cNvPr id="6" name="Conector reto 5"/>
        <xdr:cNvCxnSpPr/>
      </xdr:nvCxnSpPr>
      <xdr:spPr>
        <a:xfrm>
          <a:off x="5048250" y="3162300"/>
          <a:ext cx="71437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40</xdr:row>
      <xdr:rowOff>85725</xdr:rowOff>
    </xdr:from>
    <xdr:to>
      <xdr:col>11</xdr:col>
      <xdr:colOff>885825</xdr:colOff>
      <xdr:row>40</xdr:row>
      <xdr:rowOff>95250</xdr:rowOff>
    </xdr:to>
    <xdr:cxnSp macro="">
      <xdr:nvCxnSpPr>
        <xdr:cNvPr id="7" name="Conector reto 6"/>
        <xdr:cNvCxnSpPr/>
      </xdr:nvCxnSpPr>
      <xdr:spPr>
        <a:xfrm>
          <a:off x="6057900" y="3467100"/>
          <a:ext cx="1714500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142875</xdr:colOff>
      <xdr:row>46</xdr:row>
      <xdr:rowOff>85725</xdr:rowOff>
    </xdr:from>
    <xdr:to>
      <xdr:col>10</xdr:col>
      <xdr:colOff>857250</xdr:colOff>
      <xdr:row>46</xdr:row>
      <xdr:rowOff>85725</xdr:rowOff>
    </xdr:to>
    <xdr:cxnSp macro="">
      <xdr:nvCxnSpPr>
        <xdr:cNvPr id="8" name="Conector reto 7"/>
        <xdr:cNvCxnSpPr/>
      </xdr:nvCxnSpPr>
      <xdr:spPr>
        <a:xfrm>
          <a:off x="6029325" y="3771900"/>
          <a:ext cx="71437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142875</xdr:colOff>
      <xdr:row>49</xdr:row>
      <xdr:rowOff>114300</xdr:rowOff>
    </xdr:from>
    <xdr:to>
      <xdr:col>10</xdr:col>
      <xdr:colOff>866775</xdr:colOff>
      <xdr:row>49</xdr:row>
      <xdr:rowOff>114300</xdr:rowOff>
    </xdr:to>
    <xdr:cxnSp macro="">
      <xdr:nvCxnSpPr>
        <xdr:cNvPr id="9" name="Conector reto 8"/>
        <xdr:cNvCxnSpPr/>
      </xdr:nvCxnSpPr>
      <xdr:spPr>
        <a:xfrm>
          <a:off x="6029325" y="4105275"/>
          <a:ext cx="7239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52</xdr:row>
      <xdr:rowOff>104775</xdr:rowOff>
    </xdr:from>
    <xdr:to>
      <xdr:col>11</xdr:col>
      <xdr:colOff>904875</xdr:colOff>
      <xdr:row>52</xdr:row>
      <xdr:rowOff>114300</xdr:rowOff>
    </xdr:to>
    <xdr:cxnSp macro="">
      <xdr:nvCxnSpPr>
        <xdr:cNvPr id="10" name="Conector reto 9"/>
        <xdr:cNvCxnSpPr/>
      </xdr:nvCxnSpPr>
      <xdr:spPr>
        <a:xfrm>
          <a:off x="6048375" y="4410075"/>
          <a:ext cx="1743075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152400</xdr:colOff>
      <xdr:row>95</xdr:row>
      <xdr:rowOff>95250</xdr:rowOff>
    </xdr:from>
    <xdr:to>
      <xdr:col>11</xdr:col>
      <xdr:colOff>876300</xdr:colOff>
      <xdr:row>95</xdr:row>
      <xdr:rowOff>95250</xdr:rowOff>
    </xdr:to>
    <xdr:cxnSp macro="">
      <xdr:nvCxnSpPr>
        <xdr:cNvPr id="12" name="Conector reto 11"/>
        <xdr:cNvCxnSpPr/>
      </xdr:nvCxnSpPr>
      <xdr:spPr>
        <a:xfrm>
          <a:off x="7038975" y="4733925"/>
          <a:ext cx="72390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3</xdr:col>
      <xdr:colOff>2362200</xdr:colOff>
      <xdr:row>6</xdr:row>
      <xdr:rowOff>38100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/>
        <a:srcRect l="28753" t="22447" r="30865" b="61772"/>
        <a:stretch>
          <a:fillRect/>
        </a:stretch>
      </xdr:blipFill>
      <xdr:spPr>
        <a:xfrm>
          <a:off x="76200" y="57150"/>
          <a:ext cx="4286250" cy="952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showGridLines="0" zoomScale="130" zoomScaleNormal="130" workbookViewId="0" topLeftCell="A1">
      <selection activeCell="B9" sqref="B9"/>
    </sheetView>
  </sheetViews>
  <sheetFormatPr defaultColWidth="9.33203125" defaultRowHeight="12.75"/>
  <cols>
    <col min="1" max="1" width="14" style="1" customWidth="1"/>
    <col min="2" max="2" width="57.5" style="1" customWidth="1"/>
    <col min="3" max="3" width="12.5" style="1" hidden="1" customWidth="1"/>
    <col min="4" max="4" width="58.33203125" style="1" hidden="1" customWidth="1"/>
    <col min="5" max="5" width="8.83203125" style="102" hidden="1" customWidth="1"/>
    <col min="6" max="6" width="7.16015625" style="1" hidden="1" customWidth="1"/>
    <col min="7" max="7" width="13.66015625" style="1" hidden="1" customWidth="1"/>
    <col min="8" max="8" width="15.16015625" style="2" hidden="1" customWidth="1"/>
    <col min="9" max="9" width="14.33203125" style="1" customWidth="1"/>
    <col min="10" max="10" width="17.16015625" style="1" customWidth="1"/>
    <col min="11" max="11" width="17.5" style="1" customWidth="1"/>
    <col min="12" max="12" width="18" style="1" customWidth="1"/>
    <col min="13" max="16384" width="9.33203125" style="1" customWidth="1"/>
  </cols>
  <sheetData>
    <row r="1" spans="1:11" ht="12.75" customHeight="1">
      <c r="A1" s="153"/>
      <c r="B1" s="153"/>
      <c r="C1" s="153"/>
      <c r="D1" s="153"/>
      <c r="E1" s="153"/>
      <c r="F1" s="153"/>
      <c r="G1" s="153"/>
      <c r="H1" s="153"/>
      <c r="I1" s="153"/>
      <c r="J1" s="106"/>
      <c r="K1" s="17"/>
    </row>
    <row r="2" spans="1:11" ht="12.75" customHeight="1">
      <c r="A2" s="153"/>
      <c r="B2" s="153"/>
      <c r="C2" s="153"/>
      <c r="D2" s="153"/>
      <c r="E2" s="153"/>
      <c r="F2" s="153"/>
      <c r="G2" s="153"/>
      <c r="H2" s="153"/>
      <c r="I2" s="153"/>
      <c r="J2" s="106"/>
      <c r="K2" s="17"/>
    </row>
    <row r="3" spans="1:11" ht="12.75" customHeight="1">
      <c r="A3" s="153"/>
      <c r="B3" s="153"/>
      <c r="C3" s="153"/>
      <c r="D3" s="153"/>
      <c r="E3" s="153"/>
      <c r="F3" s="153"/>
      <c r="G3" s="153"/>
      <c r="H3" s="153"/>
      <c r="I3" s="153"/>
      <c r="J3" s="106"/>
      <c r="K3" s="17"/>
    </row>
    <row r="4" spans="1:11" ht="12.75" customHeight="1">
      <c r="A4" s="153"/>
      <c r="B4" s="153"/>
      <c r="C4" s="153"/>
      <c r="D4" s="153"/>
      <c r="E4" s="153"/>
      <c r="F4" s="153"/>
      <c r="G4" s="153"/>
      <c r="H4" s="153"/>
      <c r="I4" s="153"/>
      <c r="J4" s="106"/>
      <c r="K4" s="17"/>
    </row>
    <row r="5" spans="1:11" ht="12.75" customHeight="1">
      <c r="A5" s="153"/>
      <c r="B5" s="153"/>
      <c r="C5" s="153"/>
      <c r="D5" s="153"/>
      <c r="E5" s="153"/>
      <c r="F5" s="153"/>
      <c r="G5" s="153"/>
      <c r="H5" s="153"/>
      <c r="I5" s="153"/>
      <c r="J5" s="106"/>
      <c r="K5" s="17"/>
    </row>
    <row r="6" spans="1:11" ht="12.75" customHeight="1">
      <c r="A6" s="153"/>
      <c r="B6" s="153"/>
      <c r="C6" s="153"/>
      <c r="D6" s="153"/>
      <c r="E6" s="153"/>
      <c r="F6" s="153"/>
      <c r="G6" s="153"/>
      <c r="H6" s="153"/>
      <c r="I6" s="153"/>
      <c r="J6" s="106"/>
      <c r="K6" s="17"/>
    </row>
    <row r="7" spans="1:11" ht="12.7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7"/>
    </row>
    <row r="8" spans="1:12" ht="26.25" customHeight="1">
      <c r="A8" s="156" t="s">
        <v>260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</row>
    <row r="9" spans="1:11" ht="12.75" customHeight="1">
      <c r="A9" s="9" t="s">
        <v>0</v>
      </c>
      <c r="B9" s="37" t="s">
        <v>261</v>
      </c>
      <c r="C9" s="9"/>
      <c r="D9" s="13" t="s">
        <v>235</v>
      </c>
      <c r="E9" s="95"/>
      <c r="F9" s="17"/>
      <c r="G9" s="17"/>
      <c r="H9" s="12"/>
      <c r="I9" s="17"/>
      <c r="J9" s="17"/>
      <c r="K9" s="17"/>
    </row>
    <row r="10" spans="1:11" ht="12.75">
      <c r="A10" s="37" t="s">
        <v>1</v>
      </c>
      <c r="B10" s="13" t="s">
        <v>254</v>
      </c>
      <c r="C10" s="13"/>
      <c r="D10" s="13" t="s">
        <v>254</v>
      </c>
      <c r="E10" s="96"/>
      <c r="F10" s="16"/>
      <c r="G10" s="17"/>
      <c r="H10" s="12"/>
      <c r="I10" s="17"/>
      <c r="J10" s="17"/>
      <c r="K10" s="17"/>
    </row>
    <row r="11" spans="1:11" ht="12.75">
      <c r="A11" s="13" t="s">
        <v>20</v>
      </c>
      <c r="B11" s="22">
        <v>0.2034</v>
      </c>
      <c r="C11" s="13"/>
      <c r="D11" s="22">
        <v>0.2034</v>
      </c>
      <c r="E11" s="96"/>
      <c r="F11" s="16"/>
      <c r="G11" s="17"/>
      <c r="H11" s="12"/>
      <c r="I11" s="17"/>
      <c r="J11" s="17"/>
      <c r="K11" s="17"/>
    </row>
    <row r="12" spans="1:11" ht="12.75">
      <c r="A12" s="31"/>
      <c r="B12" s="31"/>
      <c r="C12" s="31"/>
      <c r="D12" s="31"/>
      <c r="E12" s="95"/>
      <c r="F12" s="31"/>
      <c r="G12" s="31"/>
      <c r="H12" s="31" t="s">
        <v>27</v>
      </c>
      <c r="I12" s="32">
        <v>0.2034</v>
      </c>
      <c r="J12" s="17"/>
      <c r="K12" s="17"/>
    </row>
    <row r="13" spans="1:12" ht="27" customHeight="1">
      <c r="A13" s="55" t="s">
        <v>42</v>
      </c>
      <c r="B13" s="55" t="s">
        <v>41</v>
      </c>
      <c r="C13" s="55" t="s">
        <v>15</v>
      </c>
      <c r="D13" s="55" t="s">
        <v>43</v>
      </c>
      <c r="E13" s="97" t="s">
        <v>14</v>
      </c>
      <c r="F13" s="55" t="s">
        <v>4</v>
      </c>
      <c r="G13" s="55" t="s">
        <v>11</v>
      </c>
      <c r="H13" s="56" t="s">
        <v>13</v>
      </c>
      <c r="I13" s="55" t="s">
        <v>12</v>
      </c>
      <c r="J13" s="125" t="s">
        <v>257</v>
      </c>
      <c r="K13" s="125" t="s">
        <v>258</v>
      </c>
      <c r="L13" s="126" t="s">
        <v>259</v>
      </c>
    </row>
    <row r="14" spans="1:12" ht="22.5" customHeight="1">
      <c r="A14" s="57">
        <v>1</v>
      </c>
      <c r="B14" s="58" t="s">
        <v>23</v>
      </c>
      <c r="C14" s="59"/>
      <c r="D14" s="60"/>
      <c r="E14" s="98"/>
      <c r="F14" s="60"/>
      <c r="G14" s="61"/>
      <c r="H14" s="61"/>
      <c r="I14" s="121">
        <f>I15+I18+I21</f>
        <v>52782.16694666667</v>
      </c>
      <c r="J14" s="135">
        <f>I14</f>
        <v>52782.16694666667</v>
      </c>
      <c r="K14" s="136"/>
      <c r="L14" s="127"/>
    </row>
    <row r="15" spans="1:12" ht="12.75" hidden="1">
      <c r="A15" s="63" t="s">
        <v>2</v>
      </c>
      <c r="B15" s="64" t="s">
        <v>24</v>
      </c>
      <c r="C15" s="65"/>
      <c r="D15" s="66"/>
      <c r="E15" s="99"/>
      <c r="F15" s="67"/>
      <c r="G15" s="68"/>
      <c r="H15" s="68"/>
      <c r="I15" s="122">
        <f>I16+I17</f>
        <v>2311.678567804878</v>
      </c>
      <c r="J15" s="135"/>
      <c r="K15" s="136"/>
      <c r="L15" s="127"/>
    </row>
    <row r="16" spans="1:12" ht="12.75" hidden="1">
      <c r="A16" s="70" t="s">
        <v>29</v>
      </c>
      <c r="B16" s="71" t="s">
        <v>28</v>
      </c>
      <c r="C16" s="45" t="s">
        <v>26</v>
      </c>
      <c r="D16" s="46" t="s">
        <v>25</v>
      </c>
      <c r="E16" s="100">
        <f>'MEMÓRIA DE CALCULO'!H9</f>
        <v>0.6000000000000001</v>
      </c>
      <c r="F16" s="72" t="s">
        <v>7</v>
      </c>
      <c r="G16" s="73">
        <f>226.81/1.23</f>
        <v>184.39837398373984</v>
      </c>
      <c r="H16" s="116">
        <f>I12*G16+G16</f>
        <v>221.90500325203254</v>
      </c>
      <c r="I16" s="73">
        <f>H16*E16</f>
        <v>133.14300195121953</v>
      </c>
      <c r="J16" s="135"/>
      <c r="K16" s="136"/>
      <c r="L16" s="127"/>
    </row>
    <row r="17" spans="1:12" ht="12.75" hidden="1">
      <c r="A17" s="70" t="s">
        <v>40</v>
      </c>
      <c r="B17" s="71" t="s">
        <v>28</v>
      </c>
      <c r="C17" s="47" t="s">
        <v>38</v>
      </c>
      <c r="D17" s="46" t="s">
        <v>37</v>
      </c>
      <c r="E17" s="100">
        <f>'MEMÓRIA DE CALCULO'!G23</f>
        <v>27</v>
      </c>
      <c r="F17" s="72" t="s">
        <v>7</v>
      </c>
      <c r="G17" s="73">
        <f>82.47/1.23</f>
        <v>67.04878048780488</v>
      </c>
      <c r="H17" s="116">
        <f>I12*G17+G17</f>
        <v>80.6865024390244</v>
      </c>
      <c r="I17" s="73">
        <f>H17*E17</f>
        <v>2178.5355658536587</v>
      </c>
      <c r="J17" s="135"/>
      <c r="K17" s="136"/>
      <c r="L17" s="127"/>
    </row>
    <row r="18" spans="1:12" ht="12.75" hidden="1">
      <c r="A18" s="74" t="s">
        <v>3</v>
      </c>
      <c r="B18" s="75" t="s">
        <v>44</v>
      </c>
      <c r="C18" s="76"/>
      <c r="D18" s="77"/>
      <c r="E18" s="101"/>
      <c r="F18" s="78"/>
      <c r="G18" s="79"/>
      <c r="H18" s="79"/>
      <c r="I18" s="122">
        <f>I19+I20</f>
        <v>48507.18530569106</v>
      </c>
      <c r="J18" s="135"/>
      <c r="K18" s="136"/>
      <c r="L18" s="127"/>
    </row>
    <row r="19" spans="1:12" s="5" customFormat="1" ht="11.25" customHeight="1" hidden="1">
      <c r="A19" s="81" t="s">
        <v>45</v>
      </c>
      <c r="B19" s="82" t="s">
        <v>28</v>
      </c>
      <c r="C19" s="82" t="s">
        <v>9</v>
      </c>
      <c r="D19" s="81" t="s">
        <v>10</v>
      </c>
      <c r="E19" s="83">
        <v>1</v>
      </c>
      <c r="F19" s="82" t="s">
        <v>4</v>
      </c>
      <c r="G19" s="84">
        <f>2308.69/1.23</f>
        <v>1876.9837398373984</v>
      </c>
      <c r="H19" s="117">
        <f>I12*G19+G19</f>
        <v>2258.762232520325</v>
      </c>
      <c r="I19" s="84">
        <f>E19*H19</f>
        <v>2258.762232520325</v>
      </c>
      <c r="J19" s="129"/>
      <c r="K19" s="130"/>
      <c r="L19" s="127"/>
    </row>
    <row r="20" spans="1:12" s="5" customFormat="1" ht="25.5" hidden="1">
      <c r="A20" s="81" t="s">
        <v>46</v>
      </c>
      <c r="B20" s="82" t="s">
        <v>28</v>
      </c>
      <c r="C20" s="82" t="s">
        <v>21</v>
      </c>
      <c r="D20" s="81" t="s">
        <v>22</v>
      </c>
      <c r="E20" s="83">
        <f>'MEMÓRIA DE CALCULO'!C32</f>
        <v>90</v>
      </c>
      <c r="F20" s="82" t="s">
        <v>17</v>
      </c>
      <c r="G20" s="84">
        <f>525.23/1.23</f>
        <v>427.01626016260167</v>
      </c>
      <c r="H20" s="117">
        <f>I12*G20+G20</f>
        <v>513.8713674796749</v>
      </c>
      <c r="I20" s="84">
        <f>E20*H20</f>
        <v>46248.423073170736</v>
      </c>
      <c r="J20" s="129"/>
      <c r="K20" s="128"/>
      <c r="L20" s="127"/>
    </row>
    <row r="21" spans="1:12" s="5" customFormat="1" ht="12.75" hidden="1">
      <c r="A21" s="74" t="s">
        <v>47</v>
      </c>
      <c r="B21" s="75" t="s">
        <v>48</v>
      </c>
      <c r="C21" s="76"/>
      <c r="D21" s="77"/>
      <c r="E21" s="101"/>
      <c r="F21" s="78"/>
      <c r="G21" s="79"/>
      <c r="H21" s="79"/>
      <c r="I21" s="122">
        <f>I22+I23</f>
        <v>1963.3030731707315</v>
      </c>
      <c r="J21" s="129"/>
      <c r="K21" s="128"/>
      <c r="L21" s="127"/>
    </row>
    <row r="22" spans="1:12" s="5" customFormat="1" ht="12.75" hidden="1">
      <c r="A22" s="81" t="s">
        <v>49</v>
      </c>
      <c r="B22" s="82" t="s">
        <v>28</v>
      </c>
      <c r="C22" s="47" t="s">
        <v>53</v>
      </c>
      <c r="D22" s="46" t="s">
        <v>52</v>
      </c>
      <c r="E22" s="83">
        <f>'MEMÓRIA DE CALCULO'!E38</f>
        <v>27</v>
      </c>
      <c r="F22" s="82" t="s">
        <v>7</v>
      </c>
      <c r="G22" s="84">
        <f>72.16/1.23</f>
        <v>58.666666666666664</v>
      </c>
      <c r="H22" s="117">
        <f>I12*G22+G22</f>
        <v>70.59946666666666</v>
      </c>
      <c r="I22" s="84">
        <f>H22*E22</f>
        <v>1906.1855999999998</v>
      </c>
      <c r="J22" s="129"/>
      <c r="K22" s="128"/>
      <c r="L22" s="127"/>
    </row>
    <row r="23" spans="1:12" s="5" customFormat="1" ht="12.75" hidden="1">
      <c r="A23" s="81" t="s">
        <v>50</v>
      </c>
      <c r="B23" s="82" t="s">
        <v>28</v>
      </c>
      <c r="C23" s="47" t="s">
        <v>55</v>
      </c>
      <c r="D23" s="46" t="s">
        <v>54</v>
      </c>
      <c r="E23" s="83">
        <f>'MEMÓRIA DE CALCULO'!G43</f>
        <v>6</v>
      </c>
      <c r="F23" s="82" t="s">
        <v>8</v>
      </c>
      <c r="G23" s="84">
        <f>9.73/1.23</f>
        <v>7.910569105691057</v>
      </c>
      <c r="H23" s="117">
        <f>I12*G23+G23</f>
        <v>9.519578861788618</v>
      </c>
      <c r="I23" s="84">
        <f>H23*E23</f>
        <v>57.117473170731714</v>
      </c>
      <c r="J23" s="129"/>
      <c r="K23" s="128"/>
      <c r="L23" s="127"/>
    </row>
    <row r="24" spans="1:12" s="5" customFormat="1" ht="12.75" hidden="1">
      <c r="A24" s="81" t="s">
        <v>51</v>
      </c>
      <c r="B24" s="82" t="s">
        <v>28</v>
      </c>
      <c r="C24" s="48" t="s">
        <v>57</v>
      </c>
      <c r="D24" s="49" t="s">
        <v>56</v>
      </c>
      <c r="E24" s="83">
        <f>'MEMÓRIA DE CALCULO'!G50</f>
        <v>1.44</v>
      </c>
      <c r="F24" s="82" t="s">
        <v>8</v>
      </c>
      <c r="G24" s="84">
        <f>146.62/1.23</f>
        <v>119.20325203252033</v>
      </c>
      <c r="H24" s="117">
        <f>I12*G24+G24</f>
        <v>143.44919349593496</v>
      </c>
      <c r="I24" s="84">
        <f>H24*E24</f>
        <v>206.56683863414634</v>
      </c>
      <c r="J24" s="129"/>
      <c r="K24" s="128"/>
      <c r="L24" s="127"/>
    </row>
    <row r="25" spans="1:12" s="5" customFormat="1" ht="25.5" hidden="1">
      <c r="A25" s="81" t="s">
        <v>61</v>
      </c>
      <c r="B25" s="82" t="s">
        <v>28</v>
      </c>
      <c r="C25" s="45" t="s">
        <v>60</v>
      </c>
      <c r="D25" s="50" t="s">
        <v>59</v>
      </c>
      <c r="E25" s="83">
        <f>'MEMÓRIA DE CALCULO'!G58</f>
        <v>6</v>
      </c>
      <c r="F25" s="82" t="s">
        <v>8</v>
      </c>
      <c r="G25" s="84">
        <f>55.46/1.23</f>
        <v>45.08943089430895</v>
      </c>
      <c r="H25" s="117">
        <f>I12*G25+G25</f>
        <v>54.260621138211384</v>
      </c>
      <c r="I25" s="84">
        <f>H25*E25</f>
        <v>325.5637268292683</v>
      </c>
      <c r="J25" s="129"/>
      <c r="K25" s="128"/>
      <c r="L25" s="127"/>
    </row>
    <row r="26" spans="1:12" ht="24" customHeight="1">
      <c r="A26" s="57">
        <v>2</v>
      </c>
      <c r="B26" s="58" t="s">
        <v>19</v>
      </c>
      <c r="C26" s="59"/>
      <c r="D26" s="60"/>
      <c r="E26" s="98"/>
      <c r="F26" s="60"/>
      <c r="G26" s="60"/>
      <c r="H26" s="60"/>
      <c r="I26" s="121">
        <f>I27</f>
        <v>316.60182113821133</v>
      </c>
      <c r="J26" s="135">
        <f>I26</f>
        <v>316.60182113821133</v>
      </c>
      <c r="K26" s="136"/>
      <c r="L26" s="127"/>
    </row>
    <row r="27" spans="1:12" s="5" customFormat="1" ht="12.75" hidden="1">
      <c r="A27" s="85" t="s">
        <v>18</v>
      </c>
      <c r="B27" s="86" t="s">
        <v>28</v>
      </c>
      <c r="C27" s="86" t="s">
        <v>16</v>
      </c>
      <c r="D27" s="85" t="s">
        <v>19</v>
      </c>
      <c r="E27" s="87">
        <v>20</v>
      </c>
      <c r="F27" s="86" t="s">
        <v>17</v>
      </c>
      <c r="G27" s="88">
        <f>16.18/1.23</f>
        <v>13.154471544715447</v>
      </c>
      <c r="H27" s="118">
        <f>I12*G27+G27</f>
        <v>15.830091056910568</v>
      </c>
      <c r="I27" s="84">
        <f>E27*H27</f>
        <v>316.60182113821133</v>
      </c>
      <c r="J27" s="128"/>
      <c r="K27" s="128"/>
      <c r="L27" s="127"/>
    </row>
    <row r="28" spans="1:12" s="5" customFormat="1" ht="26.25" customHeight="1">
      <c r="A28" s="57">
        <v>3</v>
      </c>
      <c r="B28" s="58" t="s">
        <v>62</v>
      </c>
      <c r="C28" s="59"/>
      <c r="D28" s="60"/>
      <c r="E28" s="98"/>
      <c r="F28" s="60"/>
      <c r="G28" s="60"/>
      <c r="H28" s="60"/>
      <c r="I28" s="121" t="e">
        <f>I29+I35</f>
        <v>#VALUE!</v>
      </c>
      <c r="J28" s="128" t="e">
        <f>I28</f>
        <v>#VALUE!</v>
      </c>
      <c r="K28" s="128"/>
      <c r="L28" s="127"/>
    </row>
    <row r="29" spans="1:12" s="5" customFormat="1" ht="12.75" customHeight="1" hidden="1">
      <c r="A29" s="63" t="s">
        <v>74</v>
      </c>
      <c r="B29" s="64" t="s">
        <v>105</v>
      </c>
      <c r="C29" s="65"/>
      <c r="D29" s="66"/>
      <c r="E29" s="99"/>
      <c r="F29" s="67"/>
      <c r="G29" s="68"/>
      <c r="H29" s="68"/>
      <c r="I29" s="122" t="e">
        <f>SUM(I30:I34)</f>
        <v>#VALUE!</v>
      </c>
      <c r="J29" s="128"/>
      <c r="K29" s="128"/>
      <c r="L29" s="127"/>
    </row>
    <row r="30" spans="1:12" s="5" customFormat="1" ht="25.5" hidden="1">
      <c r="A30" s="85" t="s">
        <v>107</v>
      </c>
      <c r="B30" s="86" t="s">
        <v>28</v>
      </c>
      <c r="C30" s="45" t="s">
        <v>65</v>
      </c>
      <c r="D30" s="50" t="s">
        <v>66</v>
      </c>
      <c r="E30" s="87">
        <f>'MEMÓRIA DE CALCULO'!H75</f>
        <v>30.76</v>
      </c>
      <c r="F30" s="86" t="s">
        <v>8</v>
      </c>
      <c r="G30" s="88">
        <f>17.36/1.23</f>
        <v>14.113821138211382</v>
      </c>
      <c r="H30" s="118">
        <f>I12*G30+G30</f>
        <v>16.984572357723575</v>
      </c>
      <c r="I30" s="84">
        <f>H30*E30</f>
        <v>522.4454457235772</v>
      </c>
      <c r="J30" s="128"/>
      <c r="K30" s="128"/>
      <c r="L30" s="127"/>
    </row>
    <row r="31" spans="1:12" s="5" customFormat="1" ht="25.5" hidden="1">
      <c r="A31" s="85" t="s">
        <v>108</v>
      </c>
      <c r="B31" s="86" t="s">
        <v>28</v>
      </c>
      <c r="C31" s="45" t="s">
        <v>72</v>
      </c>
      <c r="D31" s="51" t="s">
        <v>71</v>
      </c>
      <c r="E31" s="87">
        <f>'MEMÓRIA DE CALCULO'!H81</f>
        <v>0</v>
      </c>
      <c r="F31" s="86" t="s">
        <v>8</v>
      </c>
      <c r="G31" s="88">
        <f>37.11/1.23</f>
        <v>30.170731707317074</v>
      </c>
      <c r="H31" s="118">
        <f>I12*G31+G31</f>
        <v>36.307458536585365</v>
      </c>
      <c r="I31" s="84">
        <f>H31*E31</f>
        <v>0</v>
      </c>
      <c r="J31" s="128"/>
      <c r="K31" s="128"/>
      <c r="L31" s="127"/>
    </row>
    <row r="32" spans="1:12" s="5" customFormat="1" ht="12.75" hidden="1">
      <c r="A32" s="85" t="s">
        <v>109</v>
      </c>
      <c r="B32" s="86" t="s">
        <v>28</v>
      </c>
      <c r="C32" s="45" t="s">
        <v>64</v>
      </c>
      <c r="D32" s="46" t="s">
        <v>63</v>
      </c>
      <c r="E32" s="87">
        <f>'MEMÓRIA DE CALCULO'!H85</f>
        <v>12.304000000000002</v>
      </c>
      <c r="F32" s="86" t="s">
        <v>8</v>
      </c>
      <c r="G32" s="88">
        <f>12.89/1.23</f>
        <v>10.479674796747968</v>
      </c>
      <c r="H32" s="118">
        <f>I12*G32+G32</f>
        <v>12.611240650406504</v>
      </c>
      <c r="I32" s="84">
        <f>H32*E32</f>
        <v>155.16870496260165</v>
      </c>
      <c r="J32" s="128"/>
      <c r="K32" s="128"/>
      <c r="L32" s="127"/>
    </row>
    <row r="33" spans="1:12" s="5" customFormat="1" ht="63.75" hidden="1">
      <c r="A33" s="85" t="s">
        <v>110</v>
      </c>
      <c r="B33" s="86" t="s">
        <v>28</v>
      </c>
      <c r="C33" s="45" t="s">
        <v>68</v>
      </c>
      <c r="D33" s="50" t="s">
        <v>67</v>
      </c>
      <c r="E33" s="87" t="str">
        <f>'MEMÓRIA DE CALCULO'!C90</f>
        <v>LASTRO DE CONCRETO - 5CM</v>
      </c>
      <c r="F33" s="86" t="s">
        <v>8</v>
      </c>
      <c r="G33" s="88">
        <f>39.14/1.23</f>
        <v>31.821138211382113</v>
      </c>
      <c r="H33" s="118">
        <f>I12*G33+G33</f>
        <v>38.29355772357724</v>
      </c>
      <c r="I33" s="84" t="e">
        <f>H33*E33</f>
        <v>#VALUE!</v>
      </c>
      <c r="J33" s="128"/>
      <c r="K33" s="128"/>
      <c r="L33" s="127"/>
    </row>
    <row r="34" spans="1:12" s="5" customFormat="1" ht="12.75" hidden="1">
      <c r="A34" s="85" t="s">
        <v>111</v>
      </c>
      <c r="B34" s="86" t="s">
        <v>28</v>
      </c>
      <c r="C34" s="45" t="s">
        <v>70</v>
      </c>
      <c r="D34" s="46" t="s">
        <v>69</v>
      </c>
      <c r="E34" s="87">
        <f>'MEMÓRIA DE CALCULO'!C184</f>
        <v>0</v>
      </c>
      <c r="F34" s="86" t="s">
        <v>8</v>
      </c>
      <c r="G34" s="88">
        <f>6.71/1.23</f>
        <v>5.455284552845528</v>
      </c>
      <c r="H34" s="118">
        <f>I12*G34+G34</f>
        <v>6.564889430894309</v>
      </c>
      <c r="I34" s="84">
        <f>H34*E34</f>
        <v>0</v>
      </c>
      <c r="J34" s="128"/>
      <c r="K34" s="128"/>
      <c r="L34" s="127"/>
    </row>
    <row r="35" spans="1:12" s="5" customFormat="1" ht="12.75" hidden="1">
      <c r="A35" s="63" t="s">
        <v>75</v>
      </c>
      <c r="B35" s="64" t="s">
        <v>106</v>
      </c>
      <c r="C35" s="65"/>
      <c r="D35" s="66"/>
      <c r="E35" s="99"/>
      <c r="F35" s="67"/>
      <c r="G35" s="68"/>
      <c r="H35" s="68"/>
      <c r="I35" s="122" t="e">
        <f>SUM(I36:I40)</f>
        <v>#REF!</v>
      </c>
      <c r="J35" s="128"/>
      <c r="K35" s="128"/>
      <c r="L35" s="127"/>
    </row>
    <row r="36" spans="1:12" s="5" customFormat="1" ht="25.5" hidden="1">
      <c r="A36" s="104" t="s">
        <v>115</v>
      </c>
      <c r="B36" s="94" t="s">
        <v>28</v>
      </c>
      <c r="C36" s="45" t="s">
        <v>112</v>
      </c>
      <c r="D36" s="123" t="s">
        <v>114</v>
      </c>
      <c r="E36" s="83">
        <v>1</v>
      </c>
      <c r="F36" s="92" t="s">
        <v>113</v>
      </c>
      <c r="G36" s="93">
        <f>50.47/1.23</f>
        <v>41.03252032520325</v>
      </c>
      <c r="H36" s="119">
        <f>I12*G36+G36</f>
        <v>49.378534959349594</v>
      </c>
      <c r="I36" s="93">
        <f>H36*E36</f>
        <v>49.378534959349594</v>
      </c>
      <c r="J36" s="128"/>
      <c r="K36" s="128"/>
      <c r="L36" s="127"/>
    </row>
    <row r="37" spans="1:12" s="5" customFormat="1" ht="25.5" hidden="1">
      <c r="A37" s="70" t="s">
        <v>116</v>
      </c>
      <c r="B37" s="86" t="s">
        <v>28</v>
      </c>
      <c r="C37" s="45" t="s">
        <v>83</v>
      </c>
      <c r="D37" s="54" t="s">
        <v>82</v>
      </c>
      <c r="E37" s="87" t="e">
        <f>#REF!</f>
        <v>#REF!</v>
      </c>
      <c r="F37" s="86" t="s">
        <v>7</v>
      </c>
      <c r="G37" s="88">
        <f>95.58/1.23</f>
        <v>77.70731707317073</v>
      </c>
      <c r="H37" s="118">
        <f>I12*G37+G37</f>
        <v>93.51298536585365</v>
      </c>
      <c r="I37" s="84" t="e">
        <f>H37*E37</f>
        <v>#REF!</v>
      </c>
      <c r="J37" s="128"/>
      <c r="K37" s="128"/>
      <c r="L37" s="127"/>
    </row>
    <row r="38" spans="1:12" s="5" customFormat="1" ht="12.75" hidden="1">
      <c r="A38" s="70" t="s">
        <v>117</v>
      </c>
      <c r="B38" s="71" t="s">
        <v>28</v>
      </c>
      <c r="C38" s="45" t="s">
        <v>26</v>
      </c>
      <c r="D38" s="46" t="s">
        <v>25</v>
      </c>
      <c r="E38" s="100" t="e">
        <f>#REF!</f>
        <v>#REF!</v>
      </c>
      <c r="F38" s="72" t="s">
        <v>7</v>
      </c>
      <c r="G38" s="73">
        <f>226.81/1.23</f>
        <v>184.39837398373984</v>
      </c>
      <c r="H38" s="116">
        <f>I12*G38+G38</f>
        <v>221.90500325203254</v>
      </c>
      <c r="I38" s="73" t="e">
        <f>H38*E38</f>
        <v>#REF!</v>
      </c>
      <c r="J38" s="128"/>
      <c r="K38" s="128"/>
      <c r="L38" s="127"/>
    </row>
    <row r="39" spans="1:12" s="5" customFormat="1" ht="25.5" hidden="1">
      <c r="A39" s="70" t="s">
        <v>122</v>
      </c>
      <c r="B39" s="82" t="s">
        <v>28</v>
      </c>
      <c r="C39" s="45" t="s">
        <v>119</v>
      </c>
      <c r="D39" s="50" t="s">
        <v>118</v>
      </c>
      <c r="E39" s="87" t="e">
        <f>#REF!</f>
        <v>#REF!</v>
      </c>
      <c r="F39" s="86" t="s">
        <v>8</v>
      </c>
      <c r="G39" s="88">
        <f>8.32/1.23</f>
        <v>6.764227642276423</v>
      </c>
      <c r="H39" s="118">
        <f>I12*G39+G39</f>
        <v>8.140071544715447</v>
      </c>
      <c r="I39" s="84" t="e">
        <f>H39*E39</f>
        <v>#REF!</v>
      </c>
      <c r="J39" s="128"/>
      <c r="K39" s="128"/>
      <c r="L39" s="127"/>
    </row>
    <row r="40" spans="1:12" s="5" customFormat="1" ht="25.5" hidden="1">
      <c r="A40" s="70" t="s">
        <v>123</v>
      </c>
      <c r="B40" s="94" t="s">
        <v>28</v>
      </c>
      <c r="C40" s="45" t="s">
        <v>121</v>
      </c>
      <c r="D40" s="54" t="s">
        <v>120</v>
      </c>
      <c r="E40" s="83" t="e">
        <f>#REF!</f>
        <v>#REF!</v>
      </c>
      <c r="F40" s="82" t="s">
        <v>17</v>
      </c>
      <c r="G40" s="103">
        <f>4.6/1.23</f>
        <v>3.7398373983739837</v>
      </c>
      <c r="H40" s="120">
        <f>G40*I12+G40</f>
        <v>4.500520325203252</v>
      </c>
      <c r="I40" s="103" t="e">
        <f>H40*E40</f>
        <v>#REF!</v>
      </c>
      <c r="J40" s="128"/>
      <c r="K40" s="128"/>
      <c r="L40" s="127"/>
    </row>
    <row r="41" spans="1:12" s="5" customFormat="1" ht="24" customHeight="1">
      <c r="A41" s="57">
        <v>4</v>
      </c>
      <c r="B41" s="58" t="s">
        <v>126</v>
      </c>
      <c r="C41" s="59"/>
      <c r="D41" s="60"/>
      <c r="E41" s="98"/>
      <c r="F41" s="60"/>
      <c r="G41" s="60"/>
      <c r="H41" s="60"/>
      <c r="I41" s="121" t="e">
        <f>SUM(I42:I46)</f>
        <v>#REF!</v>
      </c>
      <c r="J41" s="128"/>
      <c r="K41" s="128" t="e">
        <f>I41/2</f>
        <v>#REF!</v>
      </c>
      <c r="L41" s="127" t="e">
        <f>I41/2</f>
        <v>#REF!</v>
      </c>
    </row>
    <row r="42" spans="1:12" s="5" customFormat="1" ht="51" hidden="1">
      <c r="A42" s="85" t="s">
        <v>78</v>
      </c>
      <c r="B42" s="45" t="s">
        <v>77</v>
      </c>
      <c r="C42" s="45">
        <v>92580</v>
      </c>
      <c r="D42" s="52" t="s">
        <v>76</v>
      </c>
      <c r="E42" s="87" t="e">
        <f>#REF!</f>
        <v>#REF!</v>
      </c>
      <c r="F42" s="86" t="s">
        <v>8</v>
      </c>
      <c r="G42" s="88">
        <v>57.24</v>
      </c>
      <c r="H42" s="118">
        <f>I12*G42+G42</f>
        <v>68.882616</v>
      </c>
      <c r="I42" s="84" t="e">
        <f>H42*E42</f>
        <v>#REF!</v>
      </c>
      <c r="J42" s="128"/>
      <c r="K42" s="128"/>
      <c r="L42" s="127"/>
    </row>
    <row r="43" spans="1:12" s="5" customFormat="1" ht="25.5" hidden="1">
      <c r="A43" s="85" t="s">
        <v>81</v>
      </c>
      <c r="B43" s="86" t="s">
        <v>28</v>
      </c>
      <c r="C43" s="45" t="s">
        <v>80</v>
      </c>
      <c r="D43" s="51" t="s">
        <v>79</v>
      </c>
      <c r="E43" s="87" t="e">
        <f>#REF!</f>
        <v>#REF!</v>
      </c>
      <c r="F43" s="86" t="s">
        <v>8</v>
      </c>
      <c r="G43" s="88">
        <f>143.13/1.23</f>
        <v>116.36585365853658</v>
      </c>
      <c r="H43" s="118">
        <f>I12*G43+G43</f>
        <v>140.0346682926829</v>
      </c>
      <c r="I43" s="84" t="e">
        <f>H43*E43</f>
        <v>#REF!</v>
      </c>
      <c r="J43" s="128"/>
      <c r="K43" s="128"/>
      <c r="L43" s="127"/>
    </row>
    <row r="44" spans="1:12" s="5" customFormat="1" ht="12.75" hidden="1">
      <c r="A44" s="85" t="s">
        <v>88</v>
      </c>
      <c r="B44" s="86" t="s">
        <v>28</v>
      </c>
      <c r="C44" s="53" t="s">
        <v>86</v>
      </c>
      <c r="D44" s="46" t="s">
        <v>85</v>
      </c>
      <c r="E44" s="87" t="e">
        <f>#REF!</f>
        <v>#REF!</v>
      </c>
      <c r="F44" s="86" t="s">
        <v>17</v>
      </c>
      <c r="G44" s="88">
        <f>66.58/1.23</f>
        <v>54.13008130081301</v>
      </c>
      <c r="H44" s="118">
        <f>I12*G44+G44</f>
        <v>65.14013983739838</v>
      </c>
      <c r="I44" s="84" t="e">
        <f>H44*E44</f>
        <v>#REF!</v>
      </c>
      <c r="J44" s="128"/>
      <c r="K44" s="128"/>
      <c r="L44" s="127"/>
    </row>
    <row r="45" spans="1:12" s="5" customFormat="1" ht="25.5" hidden="1">
      <c r="A45" s="85" t="s">
        <v>89</v>
      </c>
      <c r="B45" s="86" t="s">
        <v>28</v>
      </c>
      <c r="C45" s="45" t="s">
        <v>83</v>
      </c>
      <c r="D45" s="54" t="s">
        <v>82</v>
      </c>
      <c r="E45" s="87" t="e">
        <f>#REF!</f>
        <v>#REF!</v>
      </c>
      <c r="F45" s="86" t="s">
        <v>7</v>
      </c>
      <c r="G45" s="88">
        <f>95.58/1.23</f>
        <v>77.70731707317073</v>
      </c>
      <c r="H45" s="118">
        <f>I12*G45+G45</f>
        <v>93.51298536585365</v>
      </c>
      <c r="I45" s="84" t="e">
        <f>H45*E45</f>
        <v>#REF!</v>
      </c>
      <c r="J45" s="128"/>
      <c r="K45" s="128"/>
      <c r="L45" s="127"/>
    </row>
    <row r="46" spans="1:12" s="5" customFormat="1" ht="12.75" hidden="1">
      <c r="A46" s="85" t="s">
        <v>97</v>
      </c>
      <c r="B46" s="86" t="s">
        <v>28</v>
      </c>
      <c r="C46" s="124" t="s">
        <v>96</v>
      </c>
      <c r="D46" s="46" t="s">
        <v>95</v>
      </c>
      <c r="E46" s="87" t="e">
        <f>#REF!</f>
        <v>#REF!</v>
      </c>
      <c r="F46" s="86" t="s">
        <v>8</v>
      </c>
      <c r="G46" s="88">
        <f>50.76/1.23</f>
        <v>41.26829268292683</v>
      </c>
      <c r="H46" s="118">
        <f>I12*G46+G46</f>
        <v>49.66226341463414</v>
      </c>
      <c r="I46" s="84" t="e">
        <f>H46*E46</f>
        <v>#REF!</v>
      </c>
      <c r="J46" s="128"/>
      <c r="K46" s="128"/>
      <c r="L46" s="127"/>
    </row>
    <row r="47" spans="1:12" s="5" customFormat="1" ht="24" customHeight="1">
      <c r="A47" s="57">
        <v>5</v>
      </c>
      <c r="B47" s="58" t="s">
        <v>87</v>
      </c>
      <c r="C47" s="59"/>
      <c r="D47" s="60"/>
      <c r="E47" s="98"/>
      <c r="F47" s="60"/>
      <c r="G47" s="60"/>
      <c r="H47" s="60"/>
      <c r="I47" s="121" t="e">
        <f>SUM(I48:I49)</f>
        <v>#REF!</v>
      </c>
      <c r="J47" s="128"/>
      <c r="K47" s="128" t="e">
        <f>I47</f>
        <v>#REF!</v>
      </c>
      <c r="L47" s="127"/>
    </row>
    <row r="48" spans="1:12" s="5" customFormat="1" ht="12.75" hidden="1">
      <c r="A48" s="85" t="s">
        <v>92</v>
      </c>
      <c r="B48" s="86" t="s">
        <v>28</v>
      </c>
      <c r="C48" s="45" t="s">
        <v>91</v>
      </c>
      <c r="D48" s="49" t="s">
        <v>90</v>
      </c>
      <c r="E48" s="87" t="e">
        <f>#REF!</f>
        <v>#REF!</v>
      </c>
      <c r="F48" s="86" t="s">
        <v>8</v>
      </c>
      <c r="G48" s="88">
        <f>370.07/1.23</f>
        <v>300.869918699187</v>
      </c>
      <c r="H48" s="118">
        <f>I12*G48+G48</f>
        <v>362.06686016260164</v>
      </c>
      <c r="I48" s="84" t="e">
        <f>H48*E48</f>
        <v>#REF!</v>
      </c>
      <c r="J48" s="128"/>
      <c r="K48" s="128"/>
      <c r="L48" s="127"/>
    </row>
    <row r="49" spans="1:12" s="5" customFormat="1" ht="12.75" hidden="1">
      <c r="A49" s="85" t="s">
        <v>104</v>
      </c>
      <c r="B49" s="86" t="s">
        <v>94</v>
      </c>
      <c r="C49" s="89">
        <v>65509</v>
      </c>
      <c r="D49" s="90" t="s">
        <v>93</v>
      </c>
      <c r="E49" s="87">
        <v>1</v>
      </c>
      <c r="F49" s="86" t="s">
        <v>4</v>
      </c>
      <c r="G49" s="88">
        <f>110.61/1.23</f>
        <v>89.92682926829268</v>
      </c>
      <c r="H49" s="118">
        <f>I12*G49+G49</f>
        <v>108.2179463414634</v>
      </c>
      <c r="I49" s="84">
        <f>H49*E49</f>
        <v>108.2179463414634</v>
      </c>
      <c r="J49" s="128"/>
      <c r="K49" s="128"/>
      <c r="L49" s="127"/>
    </row>
    <row r="50" spans="1:12" s="5" customFormat="1" ht="24.75" customHeight="1">
      <c r="A50" s="57">
        <v>6</v>
      </c>
      <c r="B50" s="58" t="s">
        <v>124</v>
      </c>
      <c r="C50" s="59"/>
      <c r="D50" s="60"/>
      <c r="E50" s="98"/>
      <c r="F50" s="60"/>
      <c r="G50" s="60"/>
      <c r="H50" s="60"/>
      <c r="I50" s="121" t="e">
        <f>SUM(I51:I52)</f>
        <v>#REF!</v>
      </c>
      <c r="J50" s="128"/>
      <c r="K50" s="128" t="e">
        <f>I50</f>
        <v>#REF!</v>
      </c>
      <c r="L50" s="127"/>
    </row>
    <row r="51" spans="1:12" s="5" customFormat="1" ht="25.5" hidden="1">
      <c r="A51" s="85" t="s">
        <v>102</v>
      </c>
      <c r="B51" s="86" t="s">
        <v>28</v>
      </c>
      <c r="C51" s="45" t="s">
        <v>100</v>
      </c>
      <c r="D51" s="50" t="s">
        <v>99</v>
      </c>
      <c r="E51" s="87" t="e">
        <f>#REF!</f>
        <v>#REF!</v>
      </c>
      <c r="F51" s="86" t="s">
        <v>8</v>
      </c>
      <c r="G51" s="88">
        <f>33.68/1.23</f>
        <v>27.382113821138212</v>
      </c>
      <c r="H51" s="118">
        <f>I12*G51+G51</f>
        <v>32.951635772357726</v>
      </c>
      <c r="I51" s="84" t="e">
        <f>H51*E51</f>
        <v>#REF!</v>
      </c>
      <c r="J51" s="128"/>
      <c r="K51" s="128"/>
      <c r="L51" s="127"/>
    </row>
    <row r="52" spans="1:12" s="5" customFormat="1" ht="42.75" customHeight="1" hidden="1">
      <c r="A52" s="85" t="s">
        <v>103</v>
      </c>
      <c r="B52" s="86" t="s">
        <v>77</v>
      </c>
      <c r="C52" s="45">
        <v>87251</v>
      </c>
      <c r="D52" s="50" t="s">
        <v>101</v>
      </c>
      <c r="E52" s="87" t="e">
        <f>#REF!</f>
        <v>#REF!</v>
      </c>
      <c r="F52" s="86" t="s">
        <v>8</v>
      </c>
      <c r="G52" s="88">
        <v>52.1</v>
      </c>
      <c r="H52" s="118">
        <f>I12*G52+G52</f>
        <v>62.697140000000005</v>
      </c>
      <c r="I52" s="84" t="e">
        <f>H52*E52</f>
        <v>#REF!</v>
      </c>
      <c r="J52" s="128"/>
      <c r="K52" s="128"/>
      <c r="L52" s="127"/>
    </row>
    <row r="53" spans="1:12" s="5" customFormat="1" ht="26.25" customHeight="1">
      <c r="A53" s="57">
        <v>7</v>
      </c>
      <c r="B53" s="58" t="s">
        <v>125</v>
      </c>
      <c r="C53" s="59"/>
      <c r="D53" s="60"/>
      <c r="E53" s="98"/>
      <c r="F53" s="60"/>
      <c r="G53" s="60"/>
      <c r="H53" s="60"/>
      <c r="I53" s="121" t="e">
        <f>#REF!</f>
        <v>#REF!</v>
      </c>
      <c r="J53" s="128"/>
      <c r="K53" s="128" t="e">
        <f>I53/2</f>
        <v>#REF!</v>
      </c>
      <c r="L53" s="127" t="e">
        <f>I53/2</f>
        <v>#REF!</v>
      </c>
    </row>
    <row r="54" spans="1:12" s="5" customFormat="1" ht="12.75" hidden="1">
      <c r="A54" s="63" t="s">
        <v>127</v>
      </c>
      <c r="B54" s="64" t="s">
        <v>128</v>
      </c>
      <c r="C54" s="65"/>
      <c r="D54" s="66"/>
      <c r="E54" s="99"/>
      <c r="F54" s="67"/>
      <c r="G54" s="68"/>
      <c r="H54" s="68"/>
      <c r="I54" s="122" t="e">
        <f>SUM(I55:I62)</f>
        <v>#REF!</v>
      </c>
      <c r="J54" s="128"/>
      <c r="K54" s="128"/>
      <c r="L54" s="127"/>
    </row>
    <row r="55" spans="1:12" s="5" customFormat="1" ht="25.5" hidden="1">
      <c r="A55" s="85" t="s">
        <v>164</v>
      </c>
      <c r="B55" s="86" t="s">
        <v>28</v>
      </c>
      <c r="C55" s="45" t="s">
        <v>256</v>
      </c>
      <c r="D55" s="51" t="s">
        <v>255</v>
      </c>
      <c r="E55" s="83">
        <v>10</v>
      </c>
      <c r="F55" s="82" t="s">
        <v>7</v>
      </c>
      <c r="G55" s="84">
        <f>21.63/1.23</f>
        <v>17.585365853658537</v>
      </c>
      <c r="H55" s="117">
        <f>I12*G55+G55</f>
        <v>21.162229268292684</v>
      </c>
      <c r="I55" s="84">
        <f>H55*E55</f>
        <v>211.62229268292685</v>
      </c>
      <c r="J55" s="128"/>
      <c r="K55" s="128"/>
      <c r="L55" s="127"/>
    </row>
    <row r="56" spans="1:12" s="5" customFormat="1" ht="12.75" hidden="1">
      <c r="A56" s="85" t="s">
        <v>164</v>
      </c>
      <c r="B56" s="86" t="s">
        <v>28</v>
      </c>
      <c r="C56" s="45" t="s">
        <v>130</v>
      </c>
      <c r="D56" s="50" t="s">
        <v>129</v>
      </c>
      <c r="E56" s="83" t="e">
        <f>#REF!</f>
        <v>#REF!</v>
      </c>
      <c r="F56" s="82" t="s">
        <v>17</v>
      </c>
      <c r="G56" s="84">
        <f>90.12/1.23</f>
        <v>73.26829268292684</v>
      </c>
      <c r="H56" s="117">
        <f>I12*G56+G56</f>
        <v>88.17106341463416</v>
      </c>
      <c r="I56" s="84" t="e">
        <f>E56*H56</f>
        <v>#REF!</v>
      </c>
      <c r="J56" s="128"/>
      <c r="K56" s="128"/>
      <c r="L56" s="127"/>
    </row>
    <row r="57" spans="1:12" s="5" customFormat="1" ht="12.75" hidden="1">
      <c r="A57" s="85" t="s">
        <v>165</v>
      </c>
      <c r="B57" s="86" t="s">
        <v>28</v>
      </c>
      <c r="C57" s="45" t="s">
        <v>38</v>
      </c>
      <c r="D57" s="46" t="s">
        <v>37</v>
      </c>
      <c r="E57" s="83" t="e">
        <f>#REF!</f>
        <v>#REF!</v>
      </c>
      <c r="F57" s="82" t="s">
        <v>7</v>
      </c>
      <c r="G57" s="84">
        <f>82.47/1.23</f>
        <v>67.04878048780488</v>
      </c>
      <c r="H57" s="117">
        <f>I12*G57+G57</f>
        <v>80.6865024390244</v>
      </c>
      <c r="I57" s="84" t="e">
        <f aca="true" t="shared" si="0" ref="I57:I62">E57*H57</f>
        <v>#REF!</v>
      </c>
      <c r="J57" s="128"/>
      <c r="K57" s="128"/>
      <c r="L57" s="127"/>
    </row>
    <row r="58" spans="1:12" s="5" customFormat="1" ht="12.75" hidden="1">
      <c r="A58" s="85" t="s">
        <v>166</v>
      </c>
      <c r="B58" s="86" t="s">
        <v>28</v>
      </c>
      <c r="C58" s="45" t="s">
        <v>133</v>
      </c>
      <c r="D58" s="46" t="s">
        <v>52</v>
      </c>
      <c r="E58" s="83" t="e">
        <f>#REF!</f>
        <v>#REF!</v>
      </c>
      <c r="F58" s="82" t="s">
        <v>7</v>
      </c>
      <c r="G58" s="84">
        <f>72.16/1.23</f>
        <v>58.666666666666664</v>
      </c>
      <c r="H58" s="117">
        <f>I12*G58+G58</f>
        <v>70.59946666666666</v>
      </c>
      <c r="I58" s="84" t="e">
        <f t="shared" si="0"/>
        <v>#REF!</v>
      </c>
      <c r="J58" s="128"/>
      <c r="K58" s="128"/>
      <c r="L58" s="127"/>
    </row>
    <row r="59" spans="1:12" s="5" customFormat="1" ht="12.75" hidden="1">
      <c r="A59" s="85" t="s">
        <v>167</v>
      </c>
      <c r="B59" s="86" t="s">
        <v>28</v>
      </c>
      <c r="C59" s="45" t="s">
        <v>134</v>
      </c>
      <c r="D59" s="46" t="s">
        <v>54</v>
      </c>
      <c r="E59" s="83" t="e">
        <f>#REF!</f>
        <v>#REF!</v>
      </c>
      <c r="F59" s="82" t="s">
        <v>8</v>
      </c>
      <c r="G59" s="84">
        <f>9.73/1.23</f>
        <v>7.910569105691057</v>
      </c>
      <c r="H59" s="117">
        <f>I12*G59+G59</f>
        <v>9.519578861788618</v>
      </c>
      <c r="I59" s="84" t="e">
        <f t="shared" si="0"/>
        <v>#REF!</v>
      </c>
      <c r="J59" s="128"/>
      <c r="K59" s="128"/>
      <c r="L59" s="127"/>
    </row>
    <row r="60" spans="1:12" s="5" customFormat="1" ht="12.75" hidden="1">
      <c r="A60" s="85" t="s">
        <v>168</v>
      </c>
      <c r="B60" s="86" t="s">
        <v>28</v>
      </c>
      <c r="C60" s="45" t="s">
        <v>57</v>
      </c>
      <c r="D60" s="46" t="s">
        <v>56</v>
      </c>
      <c r="E60" s="83" t="e">
        <f>#REF!</f>
        <v>#REF!</v>
      </c>
      <c r="F60" s="82" t="s">
        <v>8</v>
      </c>
      <c r="G60" s="84">
        <f>146.62/1.23</f>
        <v>119.20325203252033</v>
      </c>
      <c r="H60" s="117">
        <f>I12*G60+G60</f>
        <v>143.44919349593496</v>
      </c>
      <c r="I60" s="84" t="e">
        <f t="shared" si="0"/>
        <v>#REF!</v>
      </c>
      <c r="J60" s="128"/>
      <c r="K60" s="128"/>
      <c r="L60" s="127"/>
    </row>
    <row r="61" spans="1:12" s="5" customFormat="1" ht="12.75" hidden="1">
      <c r="A61" s="85" t="s">
        <v>169</v>
      </c>
      <c r="B61" s="86" t="s">
        <v>28</v>
      </c>
      <c r="C61" s="45" t="s">
        <v>136</v>
      </c>
      <c r="D61" s="46" t="s">
        <v>135</v>
      </c>
      <c r="E61" s="83" t="e">
        <f>#REF!</f>
        <v>#REF!</v>
      </c>
      <c r="F61" s="82" t="s">
        <v>7</v>
      </c>
      <c r="G61" s="84">
        <f>586.91/1.23</f>
        <v>477.1626016260162</v>
      </c>
      <c r="H61" s="117">
        <f>I12*G61+G61</f>
        <v>574.2174747967479</v>
      </c>
      <c r="I61" s="84" t="e">
        <f t="shared" si="0"/>
        <v>#REF!</v>
      </c>
      <c r="J61" s="128"/>
      <c r="K61" s="128"/>
      <c r="L61" s="127"/>
    </row>
    <row r="62" spans="1:12" s="5" customFormat="1" ht="12.75" hidden="1">
      <c r="A62" s="85" t="s">
        <v>170</v>
      </c>
      <c r="B62" s="86" t="s">
        <v>28</v>
      </c>
      <c r="C62" s="45" t="s">
        <v>132</v>
      </c>
      <c r="D62" s="46" t="s">
        <v>131</v>
      </c>
      <c r="E62" s="83" t="e">
        <f>#REF!</f>
        <v>#REF!</v>
      </c>
      <c r="F62" s="82" t="s">
        <v>6</v>
      </c>
      <c r="G62" s="84">
        <f>16.09/1.23</f>
        <v>13.08130081300813</v>
      </c>
      <c r="H62" s="117">
        <f>I12*G62+G62</f>
        <v>15.742037398373984</v>
      </c>
      <c r="I62" s="84" t="e">
        <f t="shared" si="0"/>
        <v>#REF!</v>
      </c>
      <c r="J62" s="128"/>
      <c r="K62" s="128"/>
      <c r="L62" s="127"/>
    </row>
    <row r="63" spans="1:12" s="5" customFormat="1" ht="12.75" hidden="1">
      <c r="A63" s="63" t="s">
        <v>138</v>
      </c>
      <c r="B63" s="64" t="s">
        <v>137</v>
      </c>
      <c r="C63" s="65"/>
      <c r="D63" s="66"/>
      <c r="E63" s="99"/>
      <c r="F63" s="67"/>
      <c r="G63" s="68"/>
      <c r="H63" s="68"/>
      <c r="I63" s="122" t="e">
        <f>SUM(I64:I67)</f>
        <v>#REF!</v>
      </c>
      <c r="J63" s="128"/>
      <c r="K63" s="128"/>
      <c r="L63" s="127"/>
    </row>
    <row r="64" spans="1:12" s="5" customFormat="1" ht="12.75" hidden="1">
      <c r="A64" s="85" t="s">
        <v>171</v>
      </c>
      <c r="B64" s="86" t="s">
        <v>28</v>
      </c>
      <c r="C64" s="45" t="s">
        <v>57</v>
      </c>
      <c r="D64" s="46" t="s">
        <v>56</v>
      </c>
      <c r="E64" s="83" t="e">
        <f>#REF!</f>
        <v>#REF!</v>
      </c>
      <c r="F64" s="82" t="s">
        <v>8</v>
      </c>
      <c r="G64" s="84">
        <f>146.62/1.23</f>
        <v>119.20325203252033</v>
      </c>
      <c r="H64" s="117">
        <f>I12*G64+G64</f>
        <v>143.44919349593496</v>
      </c>
      <c r="I64" s="84" t="e">
        <f aca="true" t="shared" si="1" ref="I64:I66">E64*H64</f>
        <v>#REF!</v>
      </c>
      <c r="J64" s="128"/>
      <c r="K64" s="128"/>
      <c r="L64" s="127"/>
    </row>
    <row r="65" spans="1:12" s="5" customFormat="1" ht="12.75" hidden="1">
      <c r="A65" s="85" t="s">
        <v>172</v>
      </c>
      <c r="B65" s="86" t="s">
        <v>28</v>
      </c>
      <c r="C65" s="45" t="s">
        <v>136</v>
      </c>
      <c r="D65" s="46" t="s">
        <v>135</v>
      </c>
      <c r="E65" s="83" t="e">
        <f>#REF!</f>
        <v>#REF!</v>
      </c>
      <c r="F65" s="82" t="s">
        <v>7</v>
      </c>
      <c r="G65" s="84">
        <f>586.91/1.23</f>
        <v>477.1626016260162</v>
      </c>
      <c r="H65" s="117">
        <f>I12*G65+G65</f>
        <v>574.2174747967479</v>
      </c>
      <c r="I65" s="84" t="e">
        <f t="shared" si="1"/>
        <v>#REF!</v>
      </c>
      <c r="J65" s="128"/>
      <c r="K65" s="128"/>
      <c r="L65" s="127"/>
    </row>
    <row r="66" spans="1:12" s="5" customFormat="1" ht="12.75" hidden="1">
      <c r="A66" s="85" t="s">
        <v>173</v>
      </c>
      <c r="B66" s="86" t="s">
        <v>28</v>
      </c>
      <c r="C66" s="45" t="s">
        <v>132</v>
      </c>
      <c r="D66" s="46" t="s">
        <v>131</v>
      </c>
      <c r="E66" s="83" t="e">
        <f>#REF!</f>
        <v>#REF!</v>
      </c>
      <c r="F66" s="82" t="s">
        <v>6</v>
      </c>
      <c r="G66" s="84">
        <f>16.09/1.23</f>
        <v>13.08130081300813</v>
      </c>
      <c r="H66" s="117">
        <f>I12*G66+G66</f>
        <v>15.742037398373984</v>
      </c>
      <c r="I66" s="84" t="e">
        <f t="shared" si="1"/>
        <v>#REF!</v>
      </c>
      <c r="J66" s="128"/>
      <c r="K66" s="128"/>
      <c r="L66" s="127"/>
    </row>
    <row r="67" spans="1:12" s="5" customFormat="1" ht="25.5" hidden="1">
      <c r="A67" s="85" t="s">
        <v>184</v>
      </c>
      <c r="B67" s="86" t="s">
        <v>28</v>
      </c>
      <c r="C67" s="45" t="s">
        <v>186</v>
      </c>
      <c r="D67" s="50" t="s">
        <v>185</v>
      </c>
      <c r="E67" s="83" t="e">
        <f>#REF!</f>
        <v>#REF!</v>
      </c>
      <c r="F67" s="82" t="s">
        <v>17</v>
      </c>
      <c r="G67" s="84">
        <f>33.35/1.23</f>
        <v>27.113821138211385</v>
      </c>
      <c r="H67" s="117">
        <f>I12*G67+G67</f>
        <v>32.628772357723584</v>
      </c>
      <c r="I67" s="84" t="e">
        <f>H67*E67</f>
        <v>#REF!</v>
      </c>
      <c r="J67" s="128"/>
      <c r="K67" s="128"/>
      <c r="L67" s="127"/>
    </row>
    <row r="68" spans="1:12" s="5" customFormat="1" ht="12.75" hidden="1">
      <c r="A68" s="63" t="s">
        <v>147</v>
      </c>
      <c r="B68" s="64" t="s">
        <v>161</v>
      </c>
      <c r="C68" s="65"/>
      <c r="D68" s="66"/>
      <c r="E68" s="99"/>
      <c r="F68" s="67"/>
      <c r="G68" s="68"/>
      <c r="H68" s="68"/>
      <c r="I68" s="122" t="e">
        <f>SUM(I69:I72)</f>
        <v>#REF!</v>
      </c>
      <c r="J68" s="128"/>
      <c r="K68" s="128"/>
      <c r="L68" s="127"/>
    </row>
    <row r="69" spans="1:12" s="5" customFormat="1" ht="12.75" hidden="1">
      <c r="A69" s="81" t="s">
        <v>174</v>
      </c>
      <c r="B69" s="82" t="s">
        <v>28</v>
      </c>
      <c r="C69" s="45" t="s">
        <v>140</v>
      </c>
      <c r="D69" s="46" t="s">
        <v>139</v>
      </c>
      <c r="E69" s="83" t="e">
        <f>#REF!</f>
        <v>#REF!</v>
      </c>
      <c r="F69" s="82" t="s">
        <v>8</v>
      </c>
      <c r="G69" s="84">
        <f>80.59/1.23</f>
        <v>65.52032520325204</v>
      </c>
      <c r="H69" s="117">
        <f>I12*G69+G69</f>
        <v>78.84715934959351</v>
      </c>
      <c r="I69" s="84" t="e">
        <f>H69*E69</f>
        <v>#REF!</v>
      </c>
      <c r="J69" s="128"/>
      <c r="K69" s="128"/>
      <c r="L69" s="127"/>
    </row>
    <row r="70" spans="1:12" s="5" customFormat="1" ht="12.75" hidden="1">
      <c r="A70" s="81" t="s">
        <v>175</v>
      </c>
      <c r="B70" s="82" t="s">
        <v>28</v>
      </c>
      <c r="C70" s="45" t="s">
        <v>142</v>
      </c>
      <c r="D70" s="46" t="s">
        <v>141</v>
      </c>
      <c r="E70" s="83" t="e">
        <f>#REF!</f>
        <v>#REF!</v>
      </c>
      <c r="F70" s="82" t="s">
        <v>8</v>
      </c>
      <c r="G70" s="84">
        <f>7.45/1.23</f>
        <v>6.056910569105692</v>
      </c>
      <c r="H70" s="117">
        <f>I12*G70+G70</f>
        <v>7.288886178861789</v>
      </c>
      <c r="I70" s="84" t="e">
        <f aca="true" t="shared" si="2" ref="I70:I72">H70*E70</f>
        <v>#REF!</v>
      </c>
      <c r="J70" s="128"/>
      <c r="K70" s="128"/>
      <c r="L70" s="127"/>
    </row>
    <row r="71" spans="1:12" s="5" customFormat="1" ht="12.75" hidden="1">
      <c r="A71" s="81" t="s">
        <v>176</v>
      </c>
      <c r="B71" s="82" t="s">
        <v>28</v>
      </c>
      <c r="C71" s="45" t="s">
        <v>144</v>
      </c>
      <c r="D71" s="46" t="s">
        <v>143</v>
      </c>
      <c r="E71" s="83" t="e">
        <f>#REF!</f>
        <v>#REF!</v>
      </c>
      <c r="F71" s="82" t="s">
        <v>8</v>
      </c>
      <c r="G71" s="84">
        <f>37.94/1.23</f>
        <v>30.84552845528455</v>
      </c>
      <c r="H71" s="117">
        <f>I12*G71+G71</f>
        <v>37.11950894308943</v>
      </c>
      <c r="I71" s="84" t="e">
        <f t="shared" si="2"/>
        <v>#REF!</v>
      </c>
      <c r="J71" s="128"/>
      <c r="K71" s="128"/>
      <c r="L71" s="127"/>
    </row>
    <row r="72" spans="1:12" s="5" customFormat="1" ht="12.75" hidden="1">
      <c r="A72" s="81" t="s">
        <v>177</v>
      </c>
      <c r="B72" s="82" t="s">
        <v>28</v>
      </c>
      <c r="C72" s="45" t="s">
        <v>146</v>
      </c>
      <c r="D72" s="46" t="s">
        <v>145</v>
      </c>
      <c r="E72" s="83" t="e">
        <f>#REF!</f>
        <v>#REF!</v>
      </c>
      <c r="F72" s="82" t="s">
        <v>8</v>
      </c>
      <c r="G72" s="84">
        <f>27.71/1.23</f>
        <v>22.528455284552848</v>
      </c>
      <c r="H72" s="117">
        <f>I12*G72+G72</f>
        <v>27.110743089430898</v>
      </c>
      <c r="I72" s="84" t="e">
        <f t="shared" si="2"/>
        <v>#REF!</v>
      </c>
      <c r="J72" s="128"/>
      <c r="K72" s="128"/>
      <c r="L72" s="127"/>
    </row>
    <row r="73" spans="1:12" s="5" customFormat="1" ht="25.5" hidden="1">
      <c r="A73" s="81" t="s">
        <v>178</v>
      </c>
      <c r="B73" s="82" t="s">
        <v>28</v>
      </c>
      <c r="C73" s="45" t="s">
        <v>163</v>
      </c>
      <c r="D73" s="50" t="s">
        <v>162</v>
      </c>
      <c r="E73" s="83" t="e">
        <f>#REF!</f>
        <v>#REF!</v>
      </c>
      <c r="F73" s="82" t="s">
        <v>8</v>
      </c>
      <c r="G73" s="84">
        <f>122.72/1.23</f>
        <v>99.77235772357723</v>
      </c>
      <c r="H73" s="117">
        <f>I12*G73+G73</f>
        <v>120.06605528455285</v>
      </c>
      <c r="I73" s="84" t="e">
        <f>H73*E73</f>
        <v>#REF!</v>
      </c>
      <c r="J73" s="128"/>
      <c r="K73" s="128"/>
      <c r="L73" s="127"/>
    </row>
    <row r="74" spans="1:12" s="5" customFormat="1" ht="12.75" hidden="1">
      <c r="A74" s="63" t="s">
        <v>155</v>
      </c>
      <c r="B74" s="64" t="s">
        <v>148</v>
      </c>
      <c r="C74" s="65"/>
      <c r="D74" s="66"/>
      <c r="E74" s="99"/>
      <c r="F74" s="67"/>
      <c r="G74" s="68"/>
      <c r="H74" s="68"/>
      <c r="I74" s="122">
        <f>SUM(I75:I78)</f>
        <v>5981.059627382114</v>
      </c>
      <c r="J74" s="128"/>
      <c r="K74" s="128"/>
      <c r="L74" s="127"/>
    </row>
    <row r="75" spans="1:12" s="5" customFormat="1" ht="25.5" hidden="1">
      <c r="A75" s="85" t="s">
        <v>179</v>
      </c>
      <c r="B75" s="82" t="s">
        <v>28</v>
      </c>
      <c r="C75" s="45" t="s">
        <v>150</v>
      </c>
      <c r="D75" s="54" t="s">
        <v>149</v>
      </c>
      <c r="E75" s="87">
        <v>1</v>
      </c>
      <c r="F75" s="86" t="s">
        <v>4</v>
      </c>
      <c r="G75" s="88">
        <f>1310.81/1.23</f>
        <v>1065.69918699187</v>
      </c>
      <c r="H75" s="118">
        <f>I12*G75+G75</f>
        <v>1282.4624016260163</v>
      </c>
      <c r="I75" s="84">
        <f>H75*E75</f>
        <v>1282.4624016260163</v>
      </c>
      <c r="J75" s="128"/>
      <c r="K75" s="128"/>
      <c r="L75" s="127"/>
    </row>
    <row r="76" spans="1:12" s="5" customFormat="1" ht="51" hidden="1">
      <c r="A76" s="85" t="s">
        <v>196</v>
      </c>
      <c r="B76" s="82" t="s">
        <v>77</v>
      </c>
      <c r="C76" s="45">
        <v>94559</v>
      </c>
      <c r="D76" s="54" t="s">
        <v>151</v>
      </c>
      <c r="E76" s="87">
        <f>2*0.6</f>
        <v>1.2</v>
      </c>
      <c r="F76" s="86" t="s">
        <v>8</v>
      </c>
      <c r="G76" s="88">
        <v>823.95</v>
      </c>
      <c r="H76" s="118">
        <f>I12*G76+G76</f>
        <v>991.54143</v>
      </c>
      <c r="I76" s="84">
        <f aca="true" t="shared" si="3" ref="I76:I78">H76*E76</f>
        <v>1189.849716</v>
      </c>
      <c r="J76" s="128"/>
      <c r="K76" s="128"/>
      <c r="L76" s="127"/>
    </row>
    <row r="77" spans="1:12" s="5" customFormat="1" ht="51" hidden="1">
      <c r="A77" s="85" t="s">
        <v>198</v>
      </c>
      <c r="B77" s="82" t="s">
        <v>77</v>
      </c>
      <c r="C77" s="45">
        <v>94562</v>
      </c>
      <c r="D77" s="54" t="s">
        <v>152</v>
      </c>
      <c r="E77" s="87">
        <f>2*1.5</f>
        <v>3</v>
      </c>
      <c r="F77" s="86" t="s">
        <v>8</v>
      </c>
      <c r="G77" s="88">
        <v>788.1</v>
      </c>
      <c r="H77" s="118">
        <f>I12*G77+G77</f>
        <v>948.39954</v>
      </c>
      <c r="I77" s="84">
        <f t="shared" si="3"/>
        <v>2845.19862</v>
      </c>
      <c r="J77" s="128"/>
      <c r="K77" s="128"/>
      <c r="L77" s="127"/>
    </row>
    <row r="78" spans="1:12" s="5" customFormat="1" ht="12.75" hidden="1">
      <c r="A78" s="85" t="s">
        <v>197</v>
      </c>
      <c r="B78" s="86" t="s">
        <v>28</v>
      </c>
      <c r="C78" s="47" t="s">
        <v>154</v>
      </c>
      <c r="D78" s="46" t="s">
        <v>153</v>
      </c>
      <c r="E78" s="87">
        <f>E77+E76</f>
        <v>4.2</v>
      </c>
      <c r="F78" s="86"/>
      <c r="G78" s="88">
        <f>161.48/1.23</f>
        <v>131.28455284552845</v>
      </c>
      <c r="H78" s="118">
        <f>I12*G78+G78</f>
        <v>157.98783089430893</v>
      </c>
      <c r="I78" s="84">
        <f t="shared" si="3"/>
        <v>663.5488897560975</v>
      </c>
      <c r="J78" s="128"/>
      <c r="K78" s="128"/>
      <c r="L78" s="127"/>
    </row>
    <row r="79" spans="1:12" s="5" customFormat="1" ht="12.75" hidden="1">
      <c r="A79" s="63" t="s">
        <v>160</v>
      </c>
      <c r="B79" s="64" t="s">
        <v>156</v>
      </c>
      <c r="C79" s="65"/>
      <c r="D79" s="66"/>
      <c r="E79" s="99"/>
      <c r="F79" s="67"/>
      <c r="G79" s="68"/>
      <c r="H79" s="68"/>
      <c r="I79" s="122">
        <f>SUM(I80:I84)</f>
        <v>2565.7935993495935</v>
      </c>
      <c r="J79" s="128"/>
      <c r="K79" s="128"/>
      <c r="L79" s="127"/>
    </row>
    <row r="80" spans="1:12" s="5" customFormat="1" ht="12.75" hidden="1">
      <c r="A80" s="85" t="s">
        <v>192</v>
      </c>
      <c r="B80" s="86" t="s">
        <v>28</v>
      </c>
      <c r="C80" s="45" t="s">
        <v>159</v>
      </c>
      <c r="D80" s="46" t="s">
        <v>158</v>
      </c>
      <c r="E80" s="87">
        <v>1</v>
      </c>
      <c r="F80" s="86" t="s">
        <v>113</v>
      </c>
      <c r="G80" s="88">
        <f>1191.06/1.23</f>
        <v>968.3414634146341</v>
      </c>
      <c r="H80" s="118">
        <f>I12*G80+G80</f>
        <v>1165.3021170731706</v>
      </c>
      <c r="I80" s="84">
        <f>H80*E80</f>
        <v>1165.3021170731706</v>
      </c>
      <c r="J80" s="128"/>
      <c r="K80" s="128"/>
      <c r="L80" s="127"/>
    </row>
    <row r="81" spans="1:12" s="5" customFormat="1" ht="25.5" hidden="1">
      <c r="A81" s="85" t="s">
        <v>193</v>
      </c>
      <c r="B81" s="86" t="s">
        <v>28</v>
      </c>
      <c r="C81" s="45" t="s">
        <v>248</v>
      </c>
      <c r="D81" s="50" t="s">
        <v>247</v>
      </c>
      <c r="E81" s="87">
        <v>1</v>
      </c>
      <c r="F81" s="86" t="s">
        <v>113</v>
      </c>
      <c r="G81" s="88">
        <f>85/1.23</f>
        <v>69.10569105691057</v>
      </c>
      <c r="H81" s="118">
        <f>I12*G81+G81</f>
        <v>83.16178861788619</v>
      </c>
      <c r="I81" s="84">
        <f>H81*E81</f>
        <v>83.16178861788619</v>
      </c>
      <c r="J81" s="128"/>
      <c r="K81" s="128"/>
      <c r="L81" s="127"/>
    </row>
    <row r="82" spans="1:12" s="5" customFormat="1" ht="25.5" hidden="1">
      <c r="A82" s="85" t="s">
        <v>194</v>
      </c>
      <c r="B82" s="86" t="s">
        <v>28</v>
      </c>
      <c r="C82" s="45" t="s">
        <v>250</v>
      </c>
      <c r="D82" s="50" t="s">
        <v>249</v>
      </c>
      <c r="E82" s="87">
        <v>6</v>
      </c>
      <c r="F82" s="86" t="s">
        <v>17</v>
      </c>
      <c r="G82" s="88">
        <f>59.25/1.23</f>
        <v>48.170731707317074</v>
      </c>
      <c r="H82" s="118">
        <f>I12*G82+G82</f>
        <v>57.968658536585366</v>
      </c>
      <c r="I82" s="84">
        <f>H82*E82</f>
        <v>347.8119512195122</v>
      </c>
      <c r="J82" s="128"/>
      <c r="K82" s="128"/>
      <c r="L82" s="127"/>
    </row>
    <row r="83" spans="1:12" s="5" customFormat="1" ht="25.5" hidden="1">
      <c r="A83" s="85" t="s">
        <v>195</v>
      </c>
      <c r="B83" s="86" t="s">
        <v>28</v>
      </c>
      <c r="C83" s="45" t="s">
        <v>252</v>
      </c>
      <c r="D83" s="50" t="s">
        <v>251</v>
      </c>
      <c r="E83" s="87">
        <v>12</v>
      </c>
      <c r="F83" s="86" t="s">
        <v>17</v>
      </c>
      <c r="G83" s="88">
        <f>79.83/1.23</f>
        <v>64.90243902439025</v>
      </c>
      <c r="H83" s="118">
        <f>I12*G83+G83</f>
        <v>78.10359512195123</v>
      </c>
      <c r="I83" s="84">
        <f>H83*E83</f>
        <v>937.2431414634148</v>
      </c>
      <c r="J83" s="128"/>
      <c r="K83" s="128"/>
      <c r="L83" s="127"/>
    </row>
    <row r="84" spans="1:12" s="5" customFormat="1" ht="12.75" hidden="1">
      <c r="A84" s="85" t="s">
        <v>253</v>
      </c>
      <c r="B84" s="71" t="s">
        <v>28</v>
      </c>
      <c r="C84" s="47" t="s">
        <v>38</v>
      </c>
      <c r="D84" s="46" t="s">
        <v>37</v>
      </c>
      <c r="E84" s="100">
        <f>0.2*0.2*10</f>
        <v>0.4000000000000001</v>
      </c>
      <c r="F84" s="72" t="s">
        <v>7</v>
      </c>
      <c r="G84" s="73">
        <f>82.47/1.23</f>
        <v>67.04878048780488</v>
      </c>
      <c r="H84" s="116">
        <f>G84*I12+G84</f>
        <v>80.6865024390244</v>
      </c>
      <c r="I84" s="73">
        <f>H84*E84</f>
        <v>32.274600975609765</v>
      </c>
      <c r="J84" s="128"/>
      <c r="K84" s="128"/>
      <c r="L84" s="127"/>
    </row>
    <row r="85" spans="1:12" s="5" customFormat="1" ht="12.75" hidden="1">
      <c r="A85" s="63" t="s">
        <v>187</v>
      </c>
      <c r="B85" s="64" t="s">
        <v>157</v>
      </c>
      <c r="C85" s="65"/>
      <c r="D85" s="66"/>
      <c r="E85" s="99"/>
      <c r="F85" s="67"/>
      <c r="G85" s="68"/>
      <c r="H85" s="68"/>
      <c r="I85" s="122">
        <f>SUM(I86:I90)</f>
        <v>1751.631861788618</v>
      </c>
      <c r="J85" s="128"/>
      <c r="K85" s="128"/>
      <c r="L85" s="127"/>
    </row>
    <row r="86" spans="1:12" s="5" customFormat="1" ht="25.5" hidden="1">
      <c r="A86" s="85" t="s">
        <v>188</v>
      </c>
      <c r="B86" s="82" t="s">
        <v>28</v>
      </c>
      <c r="C86" s="45" t="s">
        <v>237</v>
      </c>
      <c r="D86" s="50" t="s">
        <v>236</v>
      </c>
      <c r="E86" s="87">
        <v>1</v>
      </c>
      <c r="F86" s="86" t="s">
        <v>113</v>
      </c>
      <c r="G86" s="88">
        <f>237.4/1.23</f>
        <v>193.00813008130083</v>
      </c>
      <c r="H86" s="118">
        <f>G86*I12+G86</f>
        <v>232.26598373983742</v>
      </c>
      <c r="I86" s="84">
        <f>H86*E86</f>
        <v>232.26598373983742</v>
      </c>
      <c r="J86" s="128"/>
      <c r="K86" s="128"/>
      <c r="L86" s="127"/>
    </row>
    <row r="87" spans="1:12" s="5" customFormat="1" ht="25.5" hidden="1">
      <c r="A87" s="85" t="s">
        <v>189</v>
      </c>
      <c r="B87" s="82" t="s">
        <v>28</v>
      </c>
      <c r="C87" s="45" t="s">
        <v>239</v>
      </c>
      <c r="D87" s="50" t="s">
        <v>238</v>
      </c>
      <c r="E87" s="87">
        <v>2</v>
      </c>
      <c r="F87" s="86" t="s">
        <v>113</v>
      </c>
      <c r="G87" s="88">
        <f>254.7/1.23</f>
        <v>207.0731707317073</v>
      </c>
      <c r="H87" s="118">
        <f>I12*G87+G87</f>
        <v>249.19185365853656</v>
      </c>
      <c r="I87" s="84">
        <f aca="true" t="shared" si="4" ref="I87:I90">H87*E87</f>
        <v>498.3837073170731</v>
      </c>
      <c r="J87" s="128"/>
      <c r="K87" s="128"/>
      <c r="L87" s="127"/>
    </row>
    <row r="88" spans="1:12" s="5" customFormat="1" ht="12.75" hidden="1">
      <c r="A88" s="85" t="s">
        <v>190</v>
      </c>
      <c r="B88" s="82" t="s">
        <v>28</v>
      </c>
      <c r="C88" s="45" t="s">
        <v>241</v>
      </c>
      <c r="D88" s="50" t="s">
        <v>240</v>
      </c>
      <c r="E88" s="87">
        <v>30</v>
      </c>
      <c r="F88" s="86" t="s">
        <v>17</v>
      </c>
      <c r="G88" s="88">
        <f>10.01/1.23</f>
        <v>8.138211382113822</v>
      </c>
      <c r="H88" s="118">
        <f>I12*G88+G88</f>
        <v>9.793523577235772</v>
      </c>
      <c r="I88" s="84">
        <f t="shared" si="4"/>
        <v>293.8057073170732</v>
      </c>
      <c r="J88" s="128"/>
      <c r="K88" s="128"/>
      <c r="L88" s="127"/>
    </row>
    <row r="89" spans="1:12" s="5" customFormat="1" ht="12.75" hidden="1">
      <c r="A89" s="85" t="s">
        <v>191</v>
      </c>
      <c r="B89" s="82" t="s">
        <v>28</v>
      </c>
      <c r="C89" s="45" t="s">
        <v>244</v>
      </c>
      <c r="D89" s="50" t="s">
        <v>243</v>
      </c>
      <c r="E89" s="87">
        <v>30</v>
      </c>
      <c r="F89" s="86" t="s">
        <v>17</v>
      </c>
      <c r="G89" s="88">
        <f>7.09/1.23</f>
        <v>5.764227642276423</v>
      </c>
      <c r="H89" s="118">
        <f>G89*I12+G89</f>
        <v>6.9366715447154474</v>
      </c>
      <c r="I89" s="84">
        <f t="shared" si="4"/>
        <v>208.10014634146341</v>
      </c>
      <c r="J89" s="128"/>
      <c r="K89" s="128"/>
      <c r="L89" s="127"/>
    </row>
    <row r="90" spans="1:12" s="5" customFormat="1" ht="25.5" hidden="1">
      <c r="A90" s="85" t="s">
        <v>242</v>
      </c>
      <c r="B90" s="82" t="s">
        <v>28</v>
      </c>
      <c r="C90" s="45" t="s">
        <v>246</v>
      </c>
      <c r="D90" s="50" t="s">
        <v>245</v>
      </c>
      <c r="E90" s="87">
        <v>15</v>
      </c>
      <c r="F90" s="86" t="s">
        <v>17</v>
      </c>
      <c r="G90" s="88">
        <f>35.37/1.23</f>
        <v>28.756097560975608</v>
      </c>
      <c r="H90" s="118">
        <f>G90*I12+G90</f>
        <v>34.605087804878046</v>
      </c>
      <c r="I90" s="84">
        <f t="shared" si="4"/>
        <v>519.0763170731707</v>
      </c>
      <c r="J90" s="128"/>
      <c r="K90" s="128"/>
      <c r="L90" s="127"/>
    </row>
    <row r="91" spans="1:12" s="5" customFormat="1" ht="12.75" hidden="1">
      <c r="A91" s="63" t="s">
        <v>230</v>
      </c>
      <c r="B91" s="64" t="s">
        <v>98</v>
      </c>
      <c r="C91" s="65"/>
      <c r="D91" s="66"/>
      <c r="E91" s="99"/>
      <c r="F91" s="67"/>
      <c r="G91" s="68"/>
      <c r="H91" s="68"/>
      <c r="I91" s="122" t="e">
        <f>SUM(I92:I95)</f>
        <v>#REF!</v>
      </c>
      <c r="J91" s="128"/>
      <c r="K91" s="128"/>
      <c r="L91" s="127"/>
    </row>
    <row r="92" spans="1:12" s="5" customFormat="1" ht="12.75" hidden="1">
      <c r="A92" s="85" t="s">
        <v>231</v>
      </c>
      <c r="B92" s="86" t="s">
        <v>28</v>
      </c>
      <c r="C92" s="47" t="s">
        <v>181</v>
      </c>
      <c r="D92" s="46" t="s">
        <v>180</v>
      </c>
      <c r="E92" s="87" t="e">
        <f>#REF!</f>
        <v>#REF!</v>
      </c>
      <c r="F92" s="86" t="s">
        <v>8</v>
      </c>
      <c r="G92" s="88">
        <f>8.24/1.23</f>
        <v>6.699186991869919</v>
      </c>
      <c r="H92" s="118">
        <f>I12*G92+G92</f>
        <v>8.06180162601626</v>
      </c>
      <c r="I92" s="84" t="e">
        <f>H92*E92</f>
        <v>#REF!</v>
      </c>
      <c r="J92" s="128"/>
      <c r="K92" s="128"/>
      <c r="L92" s="127"/>
    </row>
    <row r="93" spans="1:12" s="5" customFormat="1" ht="12.75" hidden="1">
      <c r="A93" s="85" t="s">
        <v>232</v>
      </c>
      <c r="B93" s="86" t="s">
        <v>28</v>
      </c>
      <c r="C93" s="47" t="s">
        <v>134</v>
      </c>
      <c r="D93" s="46" t="s">
        <v>54</v>
      </c>
      <c r="E93" s="87" t="e">
        <f>#REF!</f>
        <v>#REF!</v>
      </c>
      <c r="F93" s="86" t="s">
        <v>8</v>
      </c>
      <c r="G93" s="88">
        <f>9.73/1.23</f>
        <v>7.910569105691057</v>
      </c>
      <c r="H93" s="118">
        <f>I12*G93+G93</f>
        <v>9.519578861788618</v>
      </c>
      <c r="I93" s="84" t="e">
        <f>H93*E93</f>
        <v>#REF!</v>
      </c>
      <c r="J93" s="128"/>
      <c r="K93" s="128"/>
      <c r="L93" s="127"/>
    </row>
    <row r="94" spans="1:12" s="5" customFormat="1" ht="12.75" hidden="1">
      <c r="A94" s="85" t="s">
        <v>233</v>
      </c>
      <c r="B94" s="86" t="s">
        <v>28</v>
      </c>
      <c r="C94" s="47" t="s">
        <v>183</v>
      </c>
      <c r="D94" s="46" t="s">
        <v>182</v>
      </c>
      <c r="E94" s="87" t="e">
        <f>#REF!</f>
        <v>#REF!</v>
      </c>
      <c r="F94" s="86" t="s">
        <v>8</v>
      </c>
      <c r="G94" s="88">
        <f>41.3/1.23</f>
        <v>33.577235772357724</v>
      </c>
      <c r="H94" s="118">
        <f>G94*I12*G94</f>
        <v>229.31941701368234</v>
      </c>
      <c r="I94" s="84" t="e">
        <f>H94*E94</f>
        <v>#REF!</v>
      </c>
      <c r="J94" s="128"/>
      <c r="K94" s="128"/>
      <c r="L94" s="127"/>
    </row>
    <row r="95" spans="1:12" s="5" customFormat="1" ht="39.75" customHeight="1" hidden="1">
      <c r="A95" s="85" t="s">
        <v>234</v>
      </c>
      <c r="B95" s="86" t="s">
        <v>77</v>
      </c>
      <c r="C95" s="45">
        <v>87251</v>
      </c>
      <c r="D95" s="50" t="s">
        <v>101</v>
      </c>
      <c r="E95" s="87" t="e">
        <f>#REF!</f>
        <v>#REF!</v>
      </c>
      <c r="F95" s="86" t="s">
        <v>8</v>
      </c>
      <c r="G95" s="88">
        <v>52.1</v>
      </c>
      <c r="H95" s="118">
        <f>I12*G95+G95</f>
        <v>62.697140000000005</v>
      </c>
      <c r="I95" s="84" t="e">
        <f>H95*E95</f>
        <v>#REF!</v>
      </c>
      <c r="J95" s="128"/>
      <c r="K95" s="128"/>
      <c r="L95" s="127"/>
    </row>
    <row r="96" spans="1:12" s="5" customFormat="1" ht="26.25" customHeight="1">
      <c r="A96" s="57">
        <v>8</v>
      </c>
      <c r="B96" s="58" t="s">
        <v>199</v>
      </c>
      <c r="C96" s="59"/>
      <c r="D96" s="60"/>
      <c r="E96" s="98"/>
      <c r="F96" s="60"/>
      <c r="G96" s="60"/>
      <c r="H96" s="60"/>
      <c r="I96" s="121" t="e">
        <f>I97+I102</f>
        <v>#REF!</v>
      </c>
      <c r="J96" s="128"/>
      <c r="K96" s="128"/>
      <c r="L96" s="127" t="e">
        <f>I96</f>
        <v>#REF!</v>
      </c>
    </row>
    <row r="97" spans="1:12" s="5" customFormat="1" ht="13.5" customHeight="1" hidden="1">
      <c r="A97" s="63" t="s">
        <v>201</v>
      </c>
      <c r="B97" s="64" t="s">
        <v>210</v>
      </c>
      <c r="C97" s="65"/>
      <c r="D97" s="66"/>
      <c r="E97" s="99"/>
      <c r="F97" s="67"/>
      <c r="G97" s="68"/>
      <c r="H97" s="68"/>
      <c r="I97" s="69" t="e">
        <f>SUM(I98:I101)</f>
        <v>#REF!</v>
      </c>
      <c r="J97" s="131"/>
      <c r="K97" s="131"/>
      <c r="L97" s="132"/>
    </row>
    <row r="98" spans="1:12" s="5" customFormat="1" ht="12.75" hidden="1">
      <c r="A98" s="85" t="s">
        <v>202</v>
      </c>
      <c r="B98" s="86" t="s">
        <v>28</v>
      </c>
      <c r="C98" s="47" t="s">
        <v>200</v>
      </c>
      <c r="D98" s="46" t="s">
        <v>207</v>
      </c>
      <c r="E98" s="87" t="e">
        <f>#REF!</f>
        <v>#REF!</v>
      </c>
      <c r="F98" s="86" t="s">
        <v>8</v>
      </c>
      <c r="G98" s="88">
        <f>36.01/1.23</f>
        <v>29.27642276422764</v>
      </c>
      <c r="H98" s="88">
        <f>I12*G98+G98</f>
        <v>35.23124715447154</v>
      </c>
      <c r="I98" s="88" t="e">
        <f>H98*E98</f>
        <v>#REF!</v>
      </c>
      <c r="J98" s="131"/>
      <c r="K98" s="131"/>
      <c r="L98" s="132"/>
    </row>
    <row r="99" spans="1:12" s="5" customFormat="1" ht="12.75" hidden="1">
      <c r="A99" s="85" t="s">
        <v>209</v>
      </c>
      <c r="B99" s="86" t="s">
        <v>28</v>
      </c>
      <c r="C99" s="47" t="s">
        <v>200</v>
      </c>
      <c r="D99" s="49" t="s">
        <v>208</v>
      </c>
      <c r="E99" s="87" t="e">
        <f>#REF!</f>
        <v>#REF!</v>
      </c>
      <c r="F99" s="86" t="s">
        <v>8</v>
      </c>
      <c r="G99" s="88">
        <f>36.01/1.23</f>
        <v>29.27642276422764</v>
      </c>
      <c r="H99" s="88">
        <f>I12*G99+G99</f>
        <v>35.23124715447154</v>
      </c>
      <c r="I99" s="88" t="e">
        <f>H99*E99</f>
        <v>#REF!</v>
      </c>
      <c r="J99" s="131"/>
      <c r="K99" s="131"/>
      <c r="L99" s="132"/>
    </row>
    <row r="100" spans="1:12" s="5" customFormat="1" ht="12.75" hidden="1">
      <c r="A100" s="85" t="s">
        <v>218</v>
      </c>
      <c r="B100" s="86" t="s">
        <v>28</v>
      </c>
      <c r="C100" s="124" t="s">
        <v>212</v>
      </c>
      <c r="D100" s="46" t="s">
        <v>217</v>
      </c>
      <c r="E100" s="87" t="e">
        <f>#REF!</f>
        <v>#REF!</v>
      </c>
      <c r="F100" s="86" t="s">
        <v>8</v>
      </c>
      <c r="G100" s="88">
        <f>34.76/1.23</f>
        <v>28.260162601626014</v>
      </c>
      <c r="H100" s="88">
        <f>I12*G100+G100</f>
        <v>34.008279674796746</v>
      </c>
      <c r="I100" s="88" t="e">
        <f>H100*E100</f>
        <v>#REF!</v>
      </c>
      <c r="J100" s="131"/>
      <c r="K100" s="131"/>
      <c r="L100" s="132"/>
    </row>
    <row r="101" spans="1:12" s="5" customFormat="1" ht="12.75" hidden="1">
      <c r="A101" s="85" t="s">
        <v>219</v>
      </c>
      <c r="B101" s="86" t="s">
        <v>28</v>
      </c>
      <c r="C101" s="45" t="s">
        <v>213</v>
      </c>
      <c r="D101" s="46" t="s">
        <v>216</v>
      </c>
      <c r="E101" s="87" t="e">
        <f>#REF!</f>
        <v>#REF!</v>
      </c>
      <c r="F101" s="86" t="s">
        <v>8</v>
      </c>
      <c r="G101" s="88">
        <f>33.24/1.23</f>
        <v>27.02439024390244</v>
      </c>
      <c r="H101" s="88">
        <f>I12*G101+G101</f>
        <v>32.5211512195122</v>
      </c>
      <c r="I101" s="88" t="e">
        <f>H101*E101</f>
        <v>#REF!</v>
      </c>
      <c r="J101" s="131"/>
      <c r="K101" s="131"/>
      <c r="L101" s="132"/>
    </row>
    <row r="102" spans="1:12" s="5" customFormat="1" ht="12.75" hidden="1">
      <c r="A102" s="63" t="s">
        <v>214</v>
      </c>
      <c r="B102" s="64" t="s">
        <v>215</v>
      </c>
      <c r="C102" s="65"/>
      <c r="D102" s="66"/>
      <c r="E102" s="99"/>
      <c r="F102" s="67"/>
      <c r="G102" s="68"/>
      <c r="H102" s="68"/>
      <c r="I102" s="69" t="e">
        <f>SUM(I103:I104)</f>
        <v>#REF!</v>
      </c>
      <c r="J102" s="131"/>
      <c r="K102" s="131"/>
      <c r="L102" s="132"/>
    </row>
    <row r="103" spans="1:12" s="5" customFormat="1" ht="12.75" hidden="1">
      <c r="A103" s="85" t="s">
        <v>220</v>
      </c>
      <c r="B103" s="86" t="s">
        <v>28</v>
      </c>
      <c r="C103" s="47" t="s">
        <v>200</v>
      </c>
      <c r="D103" s="46" t="s">
        <v>207</v>
      </c>
      <c r="E103" s="87" t="e">
        <f>#REF!</f>
        <v>#REF!</v>
      </c>
      <c r="F103" s="86" t="s">
        <v>8</v>
      </c>
      <c r="G103" s="88">
        <f>36.01/1.23</f>
        <v>29.27642276422764</v>
      </c>
      <c r="H103" s="88">
        <f>I12*G103+G103</f>
        <v>35.23124715447154</v>
      </c>
      <c r="I103" s="88" t="e">
        <f>H103*E103</f>
        <v>#REF!</v>
      </c>
      <c r="J103" s="131"/>
      <c r="K103" s="131"/>
      <c r="L103" s="132"/>
    </row>
    <row r="104" spans="1:12" s="5" customFormat="1" ht="12.75" hidden="1">
      <c r="A104" s="85" t="s">
        <v>224</v>
      </c>
      <c r="B104" s="86" t="s">
        <v>28</v>
      </c>
      <c r="C104" s="47" t="s">
        <v>200</v>
      </c>
      <c r="D104" s="49" t="s">
        <v>208</v>
      </c>
      <c r="E104" s="87" t="e">
        <f>#REF!</f>
        <v>#REF!</v>
      </c>
      <c r="F104" s="86" t="s">
        <v>8</v>
      </c>
      <c r="G104" s="88">
        <f>36.01/1.23</f>
        <v>29.27642276422764</v>
      </c>
      <c r="H104" s="88">
        <f>I12*G104+G104</f>
        <v>35.23124715447154</v>
      </c>
      <c r="I104" s="88" t="e">
        <f>H104*E104</f>
        <v>#REF!</v>
      </c>
      <c r="J104" s="131"/>
      <c r="K104" s="131"/>
      <c r="L104" s="132"/>
    </row>
    <row r="105" spans="1:12" s="21" customFormat="1" ht="12.75">
      <c r="A105" s="154" t="s">
        <v>5</v>
      </c>
      <c r="B105" s="154"/>
      <c r="C105" s="154"/>
      <c r="D105" s="154"/>
      <c r="E105" s="154"/>
      <c r="F105" s="154"/>
      <c r="G105" s="154"/>
      <c r="H105" s="154"/>
      <c r="I105" s="91" t="e">
        <f>I28+I26+I14+I41+I47+I50+I53+I96</f>
        <v>#VALUE!</v>
      </c>
      <c r="J105" s="133" t="e">
        <f>SUM(J14:J96)</f>
        <v>#VALUE!</v>
      </c>
      <c r="K105" s="134" t="e">
        <f>SUM(K14:K96)</f>
        <v>#REF!</v>
      </c>
      <c r="L105" s="134" t="e">
        <f>SUM(L14:L96)</f>
        <v>#REF!</v>
      </c>
    </row>
    <row r="107" spans="7:10" ht="12.75">
      <c r="G107" s="3"/>
      <c r="I107" s="23"/>
      <c r="J107" s="23"/>
    </row>
    <row r="108" ht="12.75">
      <c r="G108" s="3"/>
    </row>
    <row r="109" spans="7:12" ht="12.75">
      <c r="G109" s="157" t="s">
        <v>225</v>
      </c>
      <c r="H109" s="157"/>
      <c r="I109" s="157"/>
      <c r="J109" s="157"/>
      <c r="K109" s="157"/>
      <c r="L109" s="157"/>
    </row>
    <row r="112" spans="7:12" ht="12.75">
      <c r="G112" s="157" t="s">
        <v>226</v>
      </c>
      <c r="H112" s="157"/>
      <c r="I112" s="157"/>
      <c r="J112" s="157"/>
      <c r="K112" s="157"/>
      <c r="L112" s="157"/>
    </row>
    <row r="113" spans="7:12" ht="11.25" customHeight="1">
      <c r="G113" s="157" t="s">
        <v>227</v>
      </c>
      <c r="H113" s="157"/>
      <c r="I113" s="157"/>
      <c r="J113" s="157"/>
      <c r="K113" s="157"/>
      <c r="L113" s="157"/>
    </row>
    <row r="114" spans="7:12" ht="12.75" customHeight="1">
      <c r="G114" s="157" t="s">
        <v>228</v>
      </c>
      <c r="H114" s="157"/>
      <c r="I114" s="157"/>
      <c r="J114" s="157"/>
      <c r="K114" s="157"/>
      <c r="L114" s="157"/>
    </row>
    <row r="115" spans="7:12" ht="12.75" customHeight="1">
      <c r="G115" s="157" t="s">
        <v>229</v>
      </c>
      <c r="H115" s="157"/>
      <c r="I115" s="157"/>
      <c r="J115" s="157"/>
      <c r="K115" s="157"/>
      <c r="L115" s="157"/>
    </row>
    <row r="116" spans="8:10" ht="12.75">
      <c r="H116" s="155"/>
      <c r="I116" s="155"/>
      <c r="J116" s="105"/>
    </row>
    <row r="117" spans="8:10" ht="12.75">
      <c r="H117" s="1"/>
      <c r="I117" s="10"/>
      <c r="J117" s="10"/>
    </row>
    <row r="121" ht="12.75">
      <c r="L121" s="137"/>
    </row>
  </sheetData>
  <autoFilter ref="H1:H115"/>
  <mergeCells count="9">
    <mergeCell ref="A1:I6"/>
    <mergeCell ref="A105:H105"/>
    <mergeCell ref="H116:I116"/>
    <mergeCell ref="A8:L8"/>
    <mergeCell ref="G109:L109"/>
    <mergeCell ref="G112:L112"/>
    <mergeCell ref="G113:L113"/>
    <mergeCell ref="G114:L114"/>
    <mergeCell ref="G115:L115"/>
  </mergeCells>
  <printOptions/>
  <pageMargins left="0.3937007874015748" right="0.3937007874015748" top="0.35433070866141736" bottom="0.5905511811023623" header="0.11811023622047245" footer="0.11811023622047245"/>
  <pageSetup fitToHeight="2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tabSelected="1" zoomScale="130" zoomScaleNormal="130" workbookViewId="0" topLeftCell="A13">
      <selection activeCell="G28" sqref="G28"/>
    </sheetView>
  </sheetViews>
  <sheetFormatPr defaultColWidth="9.33203125" defaultRowHeight="12.75"/>
  <cols>
    <col min="1" max="1" width="7.83203125" style="1" customWidth="1"/>
    <col min="2" max="2" width="14.66015625" style="1" customWidth="1"/>
    <col min="3" max="3" width="12.5" style="1" customWidth="1"/>
    <col min="4" max="4" width="58.33203125" style="1" bestFit="1" customWidth="1"/>
    <col min="5" max="5" width="8.83203125" style="102" bestFit="1" customWidth="1"/>
    <col min="6" max="6" width="7.16015625" style="1" bestFit="1" customWidth="1"/>
    <col min="7" max="7" width="13.66015625" style="1" customWidth="1"/>
    <col min="8" max="8" width="15.16015625" style="2" customWidth="1"/>
    <col min="9" max="9" width="14.33203125" style="1" customWidth="1"/>
    <col min="10" max="10" width="17.16015625" style="1" customWidth="1"/>
    <col min="11" max="11" width="2.66015625" style="1" customWidth="1"/>
    <col min="12" max="16384" width="9.33203125" style="1" customWidth="1"/>
  </cols>
  <sheetData>
    <row r="1" spans="1:11" ht="12.75" customHeight="1">
      <c r="A1" s="153"/>
      <c r="B1" s="153"/>
      <c r="C1" s="153"/>
      <c r="D1" s="153"/>
      <c r="E1" s="153"/>
      <c r="F1" s="153"/>
      <c r="G1" s="153"/>
      <c r="H1" s="153"/>
      <c r="I1" s="153"/>
      <c r="J1" s="18"/>
      <c r="K1" s="7"/>
    </row>
    <row r="2" spans="1:11" ht="12.75" customHeight="1">
      <c r="A2" s="153"/>
      <c r="B2" s="153"/>
      <c r="C2" s="153"/>
      <c r="D2" s="153"/>
      <c r="E2" s="153"/>
      <c r="F2" s="153"/>
      <c r="G2" s="153"/>
      <c r="H2" s="153"/>
      <c r="I2" s="153"/>
      <c r="J2" s="18"/>
      <c r="K2" s="7"/>
    </row>
    <row r="3" spans="1:11" ht="12.75" customHeight="1">
      <c r="A3" s="153"/>
      <c r="B3" s="153"/>
      <c r="C3" s="153"/>
      <c r="D3" s="153"/>
      <c r="E3" s="153"/>
      <c r="F3" s="153"/>
      <c r="G3" s="153"/>
      <c r="H3" s="153"/>
      <c r="I3" s="153"/>
      <c r="J3" s="18"/>
      <c r="K3" s="7"/>
    </row>
    <row r="4" spans="1:11" ht="12.75" customHeight="1">
      <c r="A4" s="153"/>
      <c r="B4" s="153"/>
      <c r="C4" s="153"/>
      <c r="D4" s="153"/>
      <c r="E4" s="153"/>
      <c r="F4" s="153"/>
      <c r="G4" s="153"/>
      <c r="H4" s="153"/>
      <c r="I4" s="153"/>
      <c r="J4" s="18"/>
      <c r="K4" s="7"/>
    </row>
    <row r="5" spans="1:11" ht="12.75" customHeight="1">
      <c r="A5" s="153"/>
      <c r="B5" s="153"/>
      <c r="C5" s="153"/>
      <c r="D5" s="153"/>
      <c r="E5" s="153"/>
      <c r="F5" s="153"/>
      <c r="G5" s="153"/>
      <c r="H5" s="153"/>
      <c r="I5" s="153"/>
      <c r="J5" s="18"/>
      <c r="K5" s="7"/>
    </row>
    <row r="6" spans="1:11" ht="12.75" customHeight="1">
      <c r="A6" s="153"/>
      <c r="B6" s="153"/>
      <c r="C6" s="153"/>
      <c r="D6" s="153"/>
      <c r="E6" s="153"/>
      <c r="F6" s="153"/>
      <c r="G6" s="153"/>
      <c r="H6" s="153"/>
      <c r="I6" s="153"/>
      <c r="J6" s="18"/>
      <c r="K6" s="7"/>
    </row>
    <row r="7" spans="1:11" ht="12.75" customHeight="1">
      <c r="A7" s="9"/>
      <c r="B7" s="9"/>
      <c r="C7" s="9"/>
      <c r="D7" s="9"/>
      <c r="E7" s="95"/>
      <c r="F7" s="7"/>
      <c r="G7" s="7"/>
      <c r="H7" s="12"/>
      <c r="I7" s="7"/>
      <c r="J7" s="17"/>
      <c r="K7" s="7"/>
    </row>
    <row r="8" spans="1:11" ht="12.75" customHeight="1">
      <c r="A8" s="9" t="s">
        <v>0</v>
      </c>
      <c r="B8" s="9"/>
      <c r="C8" s="9"/>
      <c r="D8" s="37" t="s">
        <v>328</v>
      </c>
      <c r="E8" s="141"/>
      <c r="F8" s="7"/>
      <c r="G8" s="7"/>
      <c r="H8" s="12"/>
      <c r="I8" s="7"/>
      <c r="J8" s="17"/>
      <c r="K8" s="7"/>
    </row>
    <row r="9" spans="1:11" ht="12.75">
      <c r="A9" s="37" t="s">
        <v>1</v>
      </c>
      <c r="B9" s="13"/>
      <c r="C9" s="13"/>
      <c r="D9" s="13" t="s">
        <v>254</v>
      </c>
      <c r="E9" s="96"/>
      <c r="F9" s="16"/>
      <c r="G9" s="7"/>
      <c r="H9" s="12"/>
      <c r="I9" s="7"/>
      <c r="J9" s="17"/>
      <c r="K9" s="7"/>
    </row>
    <row r="10" spans="1:11" ht="12.75">
      <c r="A10" s="13" t="s">
        <v>20</v>
      </c>
      <c r="B10" s="13"/>
      <c r="C10" s="13"/>
      <c r="D10" s="22">
        <v>0.2034</v>
      </c>
      <c r="E10" s="96"/>
      <c r="F10" s="16"/>
      <c r="G10" s="7"/>
      <c r="H10" s="12"/>
      <c r="I10" s="7"/>
      <c r="J10" s="17"/>
      <c r="K10" s="7"/>
    </row>
    <row r="11" spans="1:11" ht="12.75">
      <c r="A11" s="31"/>
      <c r="B11" s="31"/>
      <c r="C11" s="31"/>
      <c r="D11" s="31"/>
      <c r="E11" s="95"/>
      <c r="F11" s="31"/>
      <c r="G11" s="31"/>
      <c r="H11" s="31" t="s">
        <v>27</v>
      </c>
      <c r="I11" s="32">
        <v>0.2034</v>
      </c>
      <c r="J11" s="17"/>
      <c r="K11" s="7"/>
    </row>
    <row r="12" spans="1:11" ht="27" customHeight="1">
      <c r="A12" s="55" t="s">
        <v>42</v>
      </c>
      <c r="B12" s="55" t="s">
        <v>41</v>
      </c>
      <c r="C12" s="55" t="s">
        <v>15</v>
      </c>
      <c r="D12" s="55" t="s">
        <v>43</v>
      </c>
      <c r="E12" s="97" t="s">
        <v>14</v>
      </c>
      <c r="F12" s="55" t="s">
        <v>4</v>
      </c>
      <c r="G12" s="55" t="s">
        <v>11</v>
      </c>
      <c r="H12" s="56" t="s">
        <v>13</v>
      </c>
      <c r="I12" s="55" t="s">
        <v>12</v>
      </c>
      <c r="J12" s="26"/>
      <c r="K12" s="8"/>
    </row>
    <row r="13" spans="1:11" ht="22.5" customHeight="1">
      <c r="A13" s="57">
        <v>1</v>
      </c>
      <c r="B13" s="58" t="s">
        <v>23</v>
      </c>
      <c r="C13" s="59"/>
      <c r="D13" s="60"/>
      <c r="E13" s="98"/>
      <c r="F13" s="60"/>
      <c r="G13" s="61"/>
      <c r="H13" s="61"/>
      <c r="I13" s="62">
        <f>I14+I18+I21</f>
        <v>53954.361512780495</v>
      </c>
      <c r="J13" s="115"/>
      <c r="K13" s="9"/>
    </row>
    <row r="14" spans="1:11" ht="12.75">
      <c r="A14" s="63" t="s">
        <v>2</v>
      </c>
      <c r="B14" s="64" t="s">
        <v>24</v>
      </c>
      <c r="C14" s="65"/>
      <c r="D14" s="66"/>
      <c r="E14" s="99"/>
      <c r="F14" s="67"/>
      <c r="G14" s="68"/>
      <c r="H14" s="68"/>
      <c r="I14" s="69">
        <f>SUM(I15:I17)</f>
        <v>2396.601429593496</v>
      </c>
      <c r="J14" s="13"/>
      <c r="K14" s="9"/>
    </row>
    <row r="15" spans="1:11" ht="12.75">
      <c r="A15" s="70" t="s">
        <v>29</v>
      </c>
      <c r="B15" s="71" t="s">
        <v>28</v>
      </c>
      <c r="C15" s="45" t="s">
        <v>26</v>
      </c>
      <c r="D15" s="46" t="s">
        <v>25</v>
      </c>
      <c r="E15" s="100">
        <f>'MEMÓRIA DE CALCULO'!H9</f>
        <v>0.6000000000000001</v>
      </c>
      <c r="F15" s="72" t="s">
        <v>7</v>
      </c>
      <c r="G15" s="73">
        <f>226.81/1.23</f>
        <v>184.39837398373984</v>
      </c>
      <c r="H15" s="73">
        <f>I11*G15+G15</f>
        <v>221.90500325203254</v>
      </c>
      <c r="I15" s="73">
        <f>H15*E15</f>
        <v>133.14300195121953</v>
      </c>
      <c r="J15" s="13"/>
      <c r="K15" s="9"/>
    </row>
    <row r="16" spans="1:11" ht="25.5">
      <c r="A16" s="104" t="s">
        <v>40</v>
      </c>
      <c r="B16" s="142" t="s">
        <v>28</v>
      </c>
      <c r="C16" s="45" t="s">
        <v>65</v>
      </c>
      <c r="D16" s="50" t="s">
        <v>66</v>
      </c>
      <c r="E16" s="87">
        <f>'MEMÓRIA DE CALCULO'!H16</f>
        <v>5</v>
      </c>
      <c r="F16" s="86" t="s">
        <v>8</v>
      </c>
      <c r="G16" s="88">
        <f>17.36/1.23</f>
        <v>14.113821138211382</v>
      </c>
      <c r="H16" s="88">
        <f>I11*G16+G16</f>
        <v>16.984572357723575</v>
      </c>
      <c r="I16" s="88">
        <f>H16*E16</f>
        <v>84.92286178861788</v>
      </c>
      <c r="J16" s="13"/>
      <c r="K16" s="9"/>
    </row>
    <row r="17" spans="1:11" ht="12.75">
      <c r="A17" s="70" t="s">
        <v>262</v>
      </c>
      <c r="B17" s="71" t="s">
        <v>28</v>
      </c>
      <c r="C17" s="47" t="s">
        <v>38</v>
      </c>
      <c r="D17" s="46" t="s">
        <v>37</v>
      </c>
      <c r="E17" s="100">
        <f>'MEMÓRIA DE CALCULO'!G23</f>
        <v>27</v>
      </c>
      <c r="F17" s="72" t="s">
        <v>7</v>
      </c>
      <c r="G17" s="73">
        <f>82.47/1.23</f>
        <v>67.04878048780488</v>
      </c>
      <c r="H17" s="73">
        <f>I11*G17+G17</f>
        <v>80.6865024390244</v>
      </c>
      <c r="I17" s="73">
        <f>H17*E17</f>
        <v>2178.5355658536587</v>
      </c>
      <c r="J17" s="13"/>
      <c r="K17" s="9"/>
    </row>
    <row r="18" spans="1:11" ht="12.75">
      <c r="A18" s="74" t="s">
        <v>3</v>
      </c>
      <c r="B18" s="75" t="s">
        <v>44</v>
      </c>
      <c r="C18" s="76"/>
      <c r="D18" s="77"/>
      <c r="E18" s="101"/>
      <c r="F18" s="78"/>
      <c r="G18" s="79"/>
      <c r="H18" s="79"/>
      <c r="I18" s="80">
        <f>SUM(I19:I20)</f>
        <v>48507.18530569106</v>
      </c>
      <c r="J18" s="13"/>
      <c r="K18" s="9"/>
    </row>
    <row r="19" spans="1:11" s="5" customFormat="1" ht="11.25" customHeight="1">
      <c r="A19" s="81" t="s">
        <v>45</v>
      </c>
      <c r="B19" s="82" t="s">
        <v>28</v>
      </c>
      <c r="C19" s="82" t="s">
        <v>9</v>
      </c>
      <c r="D19" s="81" t="s">
        <v>10</v>
      </c>
      <c r="E19" s="83">
        <v>1</v>
      </c>
      <c r="F19" s="82" t="s">
        <v>4</v>
      </c>
      <c r="G19" s="84">
        <f>2308.69/1.23</f>
        <v>1876.9837398373984</v>
      </c>
      <c r="H19" s="84">
        <f>I11*G19+G19</f>
        <v>2258.762232520325</v>
      </c>
      <c r="I19" s="84">
        <f>E19*H19</f>
        <v>2258.762232520325</v>
      </c>
      <c r="J19" s="24"/>
      <c r="K19" s="6"/>
    </row>
    <row r="20" spans="1:11" s="5" customFormat="1" ht="25.5">
      <c r="A20" s="81" t="s">
        <v>46</v>
      </c>
      <c r="B20" s="82" t="s">
        <v>28</v>
      </c>
      <c r="C20" s="82" t="s">
        <v>21</v>
      </c>
      <c r="D20" s="81" t="s">
        <v>22</v>
      </c>
      <c r="E20" s="83">
        <f>'MEMÓRIA DE CALCULO'!C32</f>
        <v>90</v>
      </c>
      <c r="F20" s="82" t="s">
        <v>17</v>
      </c>
      <c r="G20" s="84">
        <f>525.23/1.23</f>
        <v>427.01626016260167</v>
      </c>
      <c r="H20" s="84">
        <f>I11*G20+G20</f>
        <v>513.8713674796749</v>
      </c>
      <c r="I20" s="84">
        <f>E20*H20</f>
        <v>46248.423073170736</v>
      </c>
      <c r="J20" s="24"/>
      <c r="K20" s="4"/>
    </row>
    <row r="21" spans="1:11" s="5" customFormat="1" ht="12.75">
      <c r="A21" s="74" t="s">
        <v>47</v>
      </c>
      <c r="B21" s="75" t="s">
        <v>48</v>
      </c>
      <c r="C21" s="76"/>
      <c r="D21" s="77"/>
      <c r="E21" s="101"/>
      <c r="F21" s="78"/>
      <c r="G21" s="79"/>
      <c r="H21" s="79"/>
      <c r="I21" s="80">
        <f>SUM(I22:I27)</f>
        <v>3050.574777495935</v>
      </c>
      <c r="J21" s="24"/>
      <c r="K21" s="4"/>
    </row>
    <row r="22" spans="1:11" s="5" customFormat="1" ht="12.75">
      <c r="A22" s="81" t="s">
        <v>49</v>
      </c>
      <c r="B22" s="82" t="s">
        <v>28</v>
      </c>
      <c r="C22" s="47" t="s">
        <v>53</v>
      </c>
      <c r="D22" s="46" t="s">
        <v>52</v>
      </c>
      <c r="E22" s="83">
        <f>'MEMÓRIA DE CALCULO'!E38</f>
        <v>27</v>
      </c>
      <c r="F22" s="82" t="s">
        <v>7</v>
      </c>
      <c r="G22" s="84">
        <f>72.16/1.23</f>
        <v>58.666666666666664</v>
      </c>
      <c r="H22" s="84">
        <f>I11*G22+G22</f>
        <v>70.59946666666666</v>
      </c>
      <c r="I22" s="84">
        <f aca="true" t="shared" si="0" ref="I22:I27">H22*E22</f>
        <v>1906.1855999999998</v>
      </c>
      <c r="J22" s="24"/>
      <c r="K22" s="4"/>
    </row>
    <row r="23" spans="1:11" s="5" customFormat="1" ht="12.75">
      <c r="A23" s="81" t="s">
        <v>50</v>
      </c>
      <c r="B23" s="82" t="s">
        <v>28</v>
      </c>
      <c r="C23" s="47" t="s">
        <v>55</v>
      </c>
      <c r="D23" s="46" t="s">
        <v>54</v>
      </c>
      <c r="E23" s="83">
        <f>'MEMÓRIA DE CALCULO'!G43</f>
        <v>6</v>
      </c>
      <c r="F23" s="82" t="s">
        <v>8</v>
      </c>
      <c r="G23" s="84">
        <f>9.73/1.23</f>
        <v>7.910569105691057</v>
      </c>
      <c r="H23" s="84">
        <f>I11*G23+G23</f>
        <v>9.519578861788618</v>
      </c>
      <c r="I23" s="84">
        <f t="shared" si="0"/>
        <v>57.117473170731714</v>
      </c>
      <c r="J23" s="24"/>
      <c r="K23" s="4"/>
    </row>
    <row r="24" spans="1:11" s="5" customFormat="1" ht="12.75">
      <c r="A24" s="81" t="s">
        <v>51</v>
      </c>
      <c r="B24" s="82" t="s">
        <v>28</v>
      </c>
      <c r="C24" s="48" t="s">
        <v>57</v>
      </c>
      <c r="D24" s="49" t="s">
        <v>56</v>
      </c>
      <c r="E24" s="83">
        <f>'MEMÓRIA DE CALCULO'!G50</f>
        <v>1.44</v>
      </c>
      <c r="F24" s="82" t="s">
        <v>8</v>
      </c>
      <c r="G24" s="84">
        <f>146.62/1.23</f>
        <v>119.20325203252033</v>
      </c>
      <c r="H24" s="84">
        <f>I11*G24+G24</f>
        <v>143.44919349593496</v>
      </c>
      <c r="I24" s="84">
        <f t="shared" si="0"/>
        <v>206.56683863414634</v>
      </c>
      <c r="J24" s="24"/>
      <c r="K24" s="4"/>
    </row>
    <row r="25" spans="1:11" s="5" customFormat="1" ht="25.5">
      <c r="A25" s="81" t="s">
        <v>61</v>
      </c>
      <c r="B25" s="82" t="s">
        <v>28</v>
      </c>
      <c r="C25" s="45" t="s">
        <v>60</v>
      </c>
      <c r="D25" s="50" t="s">
        <v>59</v>
      </c>
      <c r="E25" s="83">
        <f>'MEMÓRIA DE CALCULO'!G58</f>
        <v>6</v>
      </c>
      <c r="F25" s="82" t="s">
        <v>8</v>
      </c>
      <c r="G25" s="84">
        <f>55.46/1.23</f>
        <v>45.08943089430895</v>
      </c>
      <c r="H25" s="84">
        <f>I11*G25+G25</f>
        <v>54.260621138211384</v>
      </c>
      <c r="I25" s="84">
        <f t="shared" si="0"/>
        <v>325.5637268292683</v>
      </c>
      <c r="J25" s="24"/>
      <c r="K25" s="4"/>
    </row>
    <row r="26" spans="1:11" s="5" customFormat="1" ht="25.5">
      <c r="A26" s="81" t="s">
        <v>263</v>
      </c>
      <c r="B26" s="86" t="s">
        <v>28</v>
      </c>
      <c r="C26" s="41" t="s">
        <v>100</v>
      </c>
      <c r="D26" s="42" t="s">
        <v>99</v>
      </c>
      <c r="E26" s="87">
        <f>'MEMÓRIA DE CALCULO'!H67</f>
        <v>5</v>
      </c>
      <c r="F26" s="86" t="s">
        <v>8</v>
      </c>
      <c r="G26" s="88">
        <f>33.68/1.23</f>
        <v>27.382113821138212</v>
      </c>
      <c r="H26" s="88">
        <f>I11*G26+G26</f>
        <v>32.951635772357726</v>
      </c>
      <c r="I26" s="88">
        <f t="shared" si="0"/>
        <v>164.75817886178862</v>
      </c>
      <c r="J26" s="24"/>
      <c r="K26" s="4"/>
    </row>
    <row r="27" spans="1:11" s="5" customFormat="1" ht="42" customHeight="1">
      <c r="A27" s="81" t="s">
        <v>264</v>
      </c>
      <c r="B27" s="86" t="s">
        <v>77</v>
      </c>
      <c r="C27" s="41">
        <v>87251</v>
      </c>
      <c r="D27" s="42" t="s">
        <v>329</v>
      </c>
      <c r="E27" s="87">
        <f>'MEMÓRIA DE CALCULO'!H67</f>
        <v>5</v>
      </c>
      <c r="F27" s="86" t="s">
        <v>8</v>
      </c>
      <c r="G27" s="88">
        <v>64.88</v>
      </c>
      <c r="H27" s="88">
        <f>I11*G27+G27</f>
        <v>78.07659199999999</v>
      </c>
      <c r="I27" s="88">
        <f t="shared" si="0"/>
        <v>390.38295999999997</v>
      </c>
      <c r="J27" s="24"/>
      <c r="K27" s="4"/>
    </row>
    <row r="28" spans="1:11" ht="24" customHeight="1">
      <c r="A28" s="57">
        <v>2</v>
      </c>
      <c r="B28" s="58" t="s">
        <v>19</v>
      </c>
      <c r="C28" s="59"/>
      <c r="D28" s="60"/>
      <c r="E28" s="98"/>
      <c r="F28" s="60"/>
      <c r="G28" s="60"/>
      <c r="H28" s="60"/>
      <c r="I28" s="62">
        <f>I29</f>
        <v>474.90273170731706</v>
      </c>
      <c r="J28" s="27"/>
      <c r="K28" s="9"/>
    </row>
    <row r="29" spans="1:11" s="5" customFormat="1" ht="12.75">
      <c r="A29" s="85" t="s">
        <v>18</v>
      </c>
      <c r="B29" s="86" t="s">
        <v>28</v>
      </c>
      <c r="C29" s="86" t="s">
        <v>16</v>
      </c>
      <c r="D29" s="85" t="s">
        <v>19</v>
      </c>
      <c r="E29" s="87">
        <v>30</v>
      </c>
      <c r="F29" s="86" t="s">
        <v>17</v>
      </c>
      <c r="G29" s="88">
        <f>16.18/1.23</f>
        <v>13.154471544715447</v>
      </c>
      <c r="H29" s="88">
        <f>I11*G29+G29</f>
        <v>15.830091056910568</v>
      </c>
      <c r="I29" s="88">
        <f>E29*H29</f>
        <v>474.90273170731706</v>
      </c>
      <c r="J29" s="25"/>
      <c r="K29" s="4"/>
    </row>
    <row r="30" spans="1:11" s="5" customFormat="1" ht="26.25" customHeight="1">
      <c r="A30" s="57">
        <v>3</v>
      </c>
      <c r="B30" s="58" t="s">
        <v>296</v>
      </c>
      <c r="C30" s="59"/>
      <c r="D30" s="60"/>
      <c r="E30" s="98"/>
      <c r="F30" s="60"/>
      <c r="G30" s="60"/>
      <c r="H30" s="60"/>
      <c r="I30" s="62">
        <f>I31+I39+I44+I50</f>
        <v>19435.762877411642</v>
      </c>
      <c r="J30" s="25"/>
      <c r="K30" s="4"/>
    </row>
    <row r="31" spans="1:11" s="5" customFormat="1" ht="12.75" customHeight="1">
      <c r="A31" s="63" t="s">
        <v>74</v>
      </c>
      <c r="B31" s="64" t="s">
        <v>265</v>
      </c>
      <c r="C31" s="65"/>
      <c r="D31" s="66"/>
      <c r="E31" s="99"/>
      <c r="F31" s="67"/>
      <c r="G31" s="68"/>
      <c r="H31" s="68"/>
      <c r="I31" s="69">
        <f>SUM(I32:I38)</f>
        <v>6573.124503335545</v>
      </c>
      <c r="J31" s="25"/>
      <c r="K31" s="4"/>
    </row>
    <row r="32" spans="1:11" s="5" customFormat="1" ht="25.5">
      <c r="A32" s="85" t="s">
        <v>107</v>
      </c>
      <c r="B32" s="86" t="s">
        <v>28</v>
      </c>
      <c r="C32" s="45" t="s">
        <v>65</v>
      </c>
      <c r="D32" s="50" t="s">
        <v>66</v>
      </c>
      <c r="E32" s="87">
        <f>'MEMÓRIA DE CALCULO'!H75</f>
        <v>30.76</v>
      </c>
      <c r="F32" s="86" t="s">
        <v>8</v>
      </c>
      <c r="G32" s="88">
        <f>17.36/1.23</f>
        <v>14.113821138211382</v>
      </c>
      <c r="H32" s="88">
        <f>I11*G32+G32</f>
        <v>16.984572357723575</v>
      </c>
      <c r="I32" s="88">
        <f aca="true" t="shared" si="1" ref="I32:I38">H32*E32</f>
        <v>522.4454457235772</v>
      </c>
      <c r="J32" s="25"/>
      <c r="K32" s="4"/>
    </row>
    <row r="33" spans="1:11" s="5" customFormat="1" ht="25.5">
      <c r="A33" s="85" t="s">
        <v>108</v>
      </c>
      <c r="B33" s="86" t="s">
        <v>28</v>
      </c>
      <c r="C33" s="33" t="s">
        <v>267</v>
      </c>
      <c r="D33" s="110" t="s">
        <v>266</v>
      </c>
      <c r="E33" s="87">
        <f>'MEMÓRIA DE CALCULO'!H79</f>
        <v>3.0760000000000005</v>
      </c>
      <c r="F33" s="86" t="s">
        <v>7</v>
      </c>
      <c r="G33" s="88">
        <f>268.05/1.23</f>
        <v>217.9268292682927</v>
      </c>
      <c r="H33" s="88">
        <f>I11*G33+G33</f>
        <v>262.25314634146343</v>
      </c>
      <c r="I33" s="88">
        <f t="shared" si="1"/>
        <v>806.6906781463416</v>
      </c>
      <c r="J33" s="25"/>
      <c r="K33" s="4"/>
    </row>
    <row r="34" spans="1:11" s="5" customFormat="1" ht="26.25" customHeight="1">
      <c r="A34" s="85" t="s">
        <v>109</v>
      </c>
      <c r="B34" s="86" t="s">
        <v>270</v>
      </c>
      <c r="C34" s="144" t="s">
        <v>269</v>
      </c>
      <c r="D34" s="146" t="s">
        <v>268</v>
      </c>
      <c r="E34" s="87">
        <f>'MEMÓRIA DE CALCULO'!H85</f>
        <v>12.304000000000002</v>
      </c>
      <c r="F34" s="86" t="s">
        <v>7</v>
      </c>
      <c r="G34" s="88">
        <v>51.74</v>
      </c>
      <c r="H34" s="88">
        <f>I11*G34+G34</f>
        <v>62.263916</v>
      </c>
      <c r="I34" s="88">
        <f t="shared" si="1"/>
        <v>766.0952224640001</v>
      </c>
      <c r="J34" s="25"/>
      <c r="K34" s="4"/>
    </row>
    <row r="35" spans="1:11" s="5" customFormat="1" ht="14.25" customHeight="1">
      <c r="A35" s="85" t="s">
        <v>110</v>
      </c>
      <c r="B35" s="86" t="s">
        <v>28</v>
      </c>
      <c r="C35" s="145" t="s">
        <v>134</v>
      </c>
      <c r="D35" s="145" t="s">
        <v>54</v>
      </c>
      <c r="E35" s="87">
        <f>'MEMÓRIA DE CALCULO'!C94</f>
        <v>30.76</v>
      </c>
      <c r="F35" s="86" t="s">
        <v>8</v>
      </c>
      <c r="G35" s="88">
        <f>9.73/1.23</f>
        <v>7.910569105691057</v>
      </c>
      <c r="H35" s="88">
        <f>I11*G35+G35</f>
        <v>9.519578861788618</v>
      </c>
      <c r="I35" s="88">
        <f t="shared" si="1"/>
        <v>292.8222457886179</v>
      </c>
      <c r="J35" s="25"/>
      <c r="K35" s="4"/>
    </row>
    <row r="36" spans="1:11" s="5" customFormat="1" ht="12.75">
      <c r="A36" s="85" t="s">
        <v>111</v>
      </c>
      <c r="B36" s="86" t="s">
        <v>28</v>
      </c>
      <c r="C36" s="145" t="s">
        <v>183</v>
      </c>
      <c r="D36" s="145" t="s">
        <v>182</v>
      </c>
      <c r="E36" s="87">
        <f>'MEMÓRIA DE CALCULO'!C94</f>
        <v>30.76</v>
      </c>
      <c r="F36" s="86" t="s">
        <v>8</v>
      </c>
      <c r="G36" s="88">
        <f>41.3/1.23</f>
        <v>33.577235772357724</v>
      </c>
      <c r="H36" s="88">
        <f>I11*G36+G36</f>
        <v>40.406845528455285</v>
      </c>
      <c r="I36" s="88">
        <f t="shared" si="1"/>
        <v>1242.9145684552846</v>
      </c>
      <c r="J36" s="25"/>
      <c r="K36" s="4"/>
    </row>
    <row r="37" spans="1:11" s="5" customFormat="1" ht="25.5">
      <c r="A37" s="147" t="s">
        <v>271</v>
      </c>
      <c r="B37" s="86" t="s">
        <v>28</v>
      </c>
      <c r="C37" s="41" t="s">
        <v>100</v>
      </c>
      <c r="D37" s="42" t="s">
        <v>99</v>
      </c>
      <c r="E37" s="87">
        <f>'MEMÓRIA DE CALCULO'!C94</f>
        <v>30.76</v>
      </c>
      <c r="F37" s="86" t="s">
        <v>8</v>
      </c>
      <c r="G37" s="88">
        <f>33.68/1.23</f>
        <v>27.382113821138212</v>
      </c>
      <c r="H37" s="88">
        <f>I11*G37+G37</f>
        <v>32.951635772357726</v>
      </c>
      <c r="I37" s="88">
        <f t="shared" si="1"/>
        <v>1013.5923163577237</v>
      </c>
      <c r="J37" s="25"/>
      <c r="K37" s="4"/>
    </row>
    <row r="38" spans="1:11" s="5" customFormat="1" ht="39.75" customHeight="1">
      <c r="A38" s="147" t="s">
        <v>272</v>
      </c>
      <c r="B38" s="86" t="s">
        <v>77</v>
      </c>
      <c r="C38" s="41">
        <v>87251</v>
      </c>
      <c r="D38" s="42" t="s">
        <v>101</v>
      </c>
      <c r="E38" s="87">
        <f>'MEMÓRIA DE CALCULO'!C94</f>
        <v>30.76</v>
      </c>
      <c r="F38" s="86" t="s">
        <v>8</v>
      </c>
      <c r="G38" s="88">
        <v>52.1</v>
      </c>
      <c r="H38" s="88">
        <f>I11*G38+G38</f>
        <v>62.697140000000005</v>
      </c>
      <c r="I38" s="88">
        <f t="shared" si="1"/>
        <v>1928.5640264000003</v>
      </c>
      <c r="J38" s="25"/>
      <c r="K38" s="4"/>
    </row>
    <row r="39" spans="1:11" s="5" customFormat="1" ht="12.75">
      <c r="A39" s="63" t="s">
        <v>75</v>
      </c>
      <c r="B39" s="64" t="s">
        <v>273</v>
      </c>
      <c r="C39" s="65"/>
      <c r="D39" s="66"/>
      <c r="E39" s="99"/>
      <c r="F39" s="67"/>
      <c r="G39" s="68"/>
      <c r="H39" s="68"/>
      <c r="I39" s="69">
        <f>SUM(I40:I43)</f>
        <v>2979.6690249834137</v>
      </c>
      <c r="J39" s="25"/>
      <c r="K39" s="4"/>
    </row>
    <row r="40" spans="1:11" s="5" customFormat="1" ht="25.5">
      <c r="A40" s="104" t="s">
        <v>115</v>
      </c>
      <c r="B40" s="94" t="s">
        <v>28</v>
      </c>
      <c r="C40" s="148" t="s">
        <v>65</v>
      </c>
      <c r="D40" s="143" t="s">
        <v>274</v>
      </c>
      <c r="E40" s="83">
        <f>'MEMÓRIA DE CALCULO'!D107</f>
        <v>31.319999999999993</v>
      </c>
      <c r="F40" s="82" t="s">
        <v>8</v>
      </c>
      <c r="G40" s="93">
        <f>17.36/1.23</f>
        <v>14.113821138211382</v>
      </c>
      <c r="H40" s="93">
        <f>I11*G40+G40</f>
        <v>16.984572357723575</v>
      </c>
      <c r="I40" s="93">
        <f>H40*E40</f>
        <v>531.9568062439023</v>
      </c>
      <c r="J40" s="25"/>
      <c r="K40" s="4"/>
    </row>
    <row r="41" spans="1:11" s="5" customFormat="1" ht="12.75">
      <c r="A41" s="70" t="s">
        <v>116</v>
      </c>
      <c r="B41" s="86" t="s">
        <v>28</v>
      </c>
      <c r="C41" s="108" t="s">
        <v>275</v>
      </c>
      <c r="D41" s="109" t="s">
        <v>141</v>
      </c>
      <c r="E41" s="87">
        <f>'MEMÓRIA DE CALCULO'!D107</f>
        <v>31.319999999999993</v>
      </c>
      <c r="F41" s="86" t="s">
        <v>8</v>
      </c>
      <c r="G41" s="88">
        <f>7.45/1.23</f>
        <v>6.056910569105692</v>
      </c>
      <c r="H41" s="88">
        <f>I11*G41+G41</f>
        <v>7.288886178861789</v>
      </c>
      <c r="I41" s="88">
        <f>H41*E41</f>
        <v>228.2879151219512</v>
      </c>
      <c r="J41" s="25"/>
      <c r="K41" s="4"/>
    </row>
    <row r="42" spans="1:11" s="5" customFormat="1" ht="12.75">
      <c r="A42" s="70" t="s">
        <v>117</v>
      </c>
      <c r="B42" s="71" t="s">
        <v>28</v>
      </c>
      <c r="C42" s="108" t="s">
        <v>276</v>
      </c>
      <c r="D42" s="109" t="s">
        <v>143</v>
      </c>
      <c r="E42" s="100">
        <f>'MEMÓRIA DE CALCULO'!D107</f>
        <v>31.319999999999993</v>
      </c>
      <c r="F42" s="72" t="s">
        <v>8</v>
      </c>
      <c r="G42" s="73">
        <f>37.94/1.23</f>
        <v>30.84552845528455</v>
      </c>
      <c r="H42" s="73">
        <f>I11*G42+G42</f>
        <v>37.11950894308943</v>
      </c>
      <c r="I42" s="73">
        <f>H42*E42</f>
        <v>1162.5830200975606</v>
      </c>
      <c r="J42" s="25"/>
      <c r="K42" s="4"/>
    </row>
    <row r="43" spans="1:11" s="5" customFormat="1" ht="38.25">
      <c r="A43" s="70" t="s">
        <v>122</v>
      </c>
      <c r="B43" s="82" t="s">
        <v>77</v>
      </c>
      <c r="C43" s="33" t="s">
        <v>278</v>
      </c>
      <c r="D43" s="110" t="s">
        <v>277</v>
      </c>
      <c r="E43" s="87">
        <f>'MEMÓRIA DE CALCULO'!D107</f>
        <v>31.319999999999993</v>
      </c>
      <c r="F43" s="86" t="s">
        <v>8</v>
      </c>
      <c r="G43" s="88">
        <v>28.04</v>
      </c>
      <c r="H43" s="88">
        <f>I11*G43+G43</f>
        <v>33.743336</v>
      </c>
      <c r="I43" s="88">
        <f>H43*E43</f>
        <v>1056.8412835199997</v>
      </c>
      <c r="J43" s="25"/>
      <c r="K43" s="4"/>
    </row>
    <row r="44" spans="1:11" s="5" customFormat="1" ht="12.75">
      <c r="A44" s="63" t="s">
        <v>284</v>
      </c>
      <c r="B44" s="64" t="s">
        <v>285</v>
      </c>
      <c r="C44" s="65"/>
      <c r="D44" s="66"/>
      <c r="E44" s="99"/>
      <c r="F44" s="67"/>
      <c r="G44" s="68"/>
      <c r="H44" s="68"/>
      <c r="I44" s="69">
        <f>SUM(I45:I49)</f>
        <v>8534.04600275122</v>
      </c>
      <c r="J44" s="25"/>
      <c r="K44" s="4"/>
    </row>
    <row r="45" spans="1:11" s="5" customFormat="1" ht="25.5">
      <c r="A45" s="70" t="s">
        <v>290</v>
      </c>
      <c r="B45" s="94" t="s">
        <v>28</v>
      </c>
      <c r="C45" s="149" t="s">
        <v>287</v>
      </c>
      <c r="D45" s="140" t="s">
        <v>286</v>
      </c>
      <c r="E45" s="83">
        <f>'MEMÓRIA DE CALCULO'!H118</f>
        <v>60.300000000000004</v>
      </c>
      <c r="F45" s="82" t="s">
        <v>8</v>
      </c>
      <c r="G45" s="103">
        <f>11.57/1.23</f>
        <v>9.40650406504065</v>
      </c>
      <c r="H45" s="103">
        <f>I11*G45</f>
        <v>1.9132829268292681</v>
      </c>
      <c r="I45" s="103">
        <f>E45*H45</f>
        <v>115.37096048780488</v>
      </c>
      <c r="J45" s="25"/>
      <c r="K45" s="4"/>
    </row>
    <row r="46" spans="1:11" s="5" customFormat="1" ht="25.5">
      <c r="A46" s="70" t="s">
        <v>291</v>
      </c>
      <c r="B46" s="94" t="s">
        <v>28</v>
      </c>
      <c r="C46" s="41" t="s">
        <v>289</v>
      </c>
      <c r="D46" s="42" t="s">
        <v>288</v>
      </c>
      <c r="E46" s="83">
        <f>'MEMÓRIA DE CALCULO'!H118</f>
        <v>60.300000000000004</v>
      </c>
      <c r="F46" s="82" t="s">
        <v>8</v>
      </c>
      <c r="G46" s="103">
        <f>62.82/1.23</f>
        <v>51.07317073170732</v>
      </c>
      <c r="H46" s="103">
        <f>I11*G46+G46</f>
        <v>61.46145365853659</v>
      </c>
      <c r="I46" s="103">
        <f>E46*H46</f>
        <v>3706.125655609757</v>
      </c>
      <c r="J46" s="25"/>
      <c r="K46" s="4"/>
    </row>
    <row r="47" spans="1:11" s="5" customFormat="1" ht="12.75">
      <c r="A47" s="70" t="s">
        <v>292</v>
      </c>
      <c r="B47" s="82" t="s">
        <v>28</v>
      </c>
      <c r="C47" s="41" t="s">
        <v>142</v>
      </c>
      <c r="D47" s="40" t="s">
        <v>141</v>
      </c>
      <c r="E47" s="83">
        <f>'MEMÓRIA DE CALCULO'!H118</f>
        <v>60.300000000000004</v>
      </c>
      <c r="F47" s="82" t="s">
        <v>8</v>
      </c>
      <c r="G47" s="84">
        <f>7.45/1.23</f>
        <v>6.056910569105692</v>
      </c>
      <c r="H47" s="84">
        <f>I11*G47+G47</f>
        <v>7.288886178861789</v>
      </c>
      <c r="I47" s="84">
        <f aca="true" t="shared" si="2" ref="I47:I49">H47*E47</f>
        <v>439.5198365853659</v>
      </c>
      <c r="J47" s="25"/>
      <c r="K47" s="4"/>
    </row>
    <row r="48" spans="1:11" s="5" customFormat="1" ht="12.75">
      <c r="A48" s="70" t="s">
        <v>293</v>
      </c>
      <c r="B48" s="82" t="s">
        <v>28</v>
      </c>
      <c r="C48" s="41" t="s">
        <v>144</v>
      </c>
      <c r="D48" s="40" t="s">
        <v>143</v>
      </c>
      <c r="E48" s="83">
        <f>'MEMÓRIA DE CALCULO'!H118</f>
        <v>60.300000000000004</v>
      </c>
      <c r="F48" s="82" t="s">
        <v>8</v>
      </c>
      <c r="G48" s="84">
        <f>37.94/1.23</f>
        <v>30.84552845528455</v>
      </c>
      <c r="H48" s="84">
        <f>I11*G48+G48</f>
        <v>37.11950894308943</v>
      </c>
      <c r="I48" s="84">
        <f t="shared" si="2"/>
        <v>2238.3063892682926</v>
      </c>
      <c r="J48" s="25"/>
      <c r="K48" s="4"/>
    </row>
    <row r="49" spans="1:11" s="5" customFormat="1" ht="38.25">
      <c r="A49" s="104" t="s">
        <v>294</v>
      </c>
      <c r="B49" s="82" t="s">
        <v>77</v>
      </c>
      <c r="C49" s="33" t="s">
        <v>278</v>
      </c>
      <c r="D49" s="110" t="s">
        <v>277</v>
      </c>
      <c r="E49" s="87">
        <f>'MEMÓRIA DE CALCULO'!H118</f>
        <v>60.300000000000004</v>
      </c>
      <c r="F49" s="86" t="s">
        <v>8</v>
      </c>
      <c r="G49" s="84">
        <v>28.04</v>
      </c>
      <c r="H49" s="84">
        <f>I11*G49+G49</f>
        <v>33.743336</v>
      </c>
      <c r="I49" s="84">
        <f t="shared" si="2"/>
        <v>2034.7231608000002</v>
      </c>
      <c r="J49" s="25"/>
      <c r="K49" s="4"/>
    </row>
    <row r="50" spans="1:11" s="5" customFormat="1" ht="12.75">
      <c r="A50" s="63" t="s">
        <v>303</v>
      </c>
      <c r="B50" s="64" t="s">
        <v>304</v>
      </c>
      <c r="C50" s="65"/>
      <c r="D50" s="66"/>
      <c r="E50" s="99"/>
      <c r="F50" s="67"/>
      <c r="G50" s="68"/>
      <c r="H50" s="68"/>
      <c r="I50" s="69">
        <f>SUM(I51:I53)</f>
        <v>1348.9233463414635</v>
      </c>
      <c r="J50" s="25"/>
      <c r="K50" s="4"/>
    </row>
    <row r="51" spans="1:11" s="5" customFormat="1" ht="12.75">
      <c r="A51" s="104" t="s">
        <v>309</v>
      </c>
      <c r="B51" s="82" t="s">
        <v>28</v>
      </c>
      <c r="C51" s="41" t="s">
        <v>306</v>
      </c>
      <c r="D51" s="138" t="s">
        <v>305</v>
      </c>
      <c r="E51" s="83">
        <v>1</v>
      </c>
      <c r="F51" s="82" t="s">
        <v>113</v>
      </c>
      <c r="G51" s="84">
        <f>12.74/1.23</f>
        <v>10.357723577235772</v>
      </c>
      <c r="H51" s="84">
        <f>G51*I11+G51</f>
        <v>12.464484552845528</v>
      </c>
      <c r="I51" s="84">
        <f>H51*E51</f>
        <v>12.464484552845528</v>
      </c>
      <c r="J51" s="25"/>
      <c r="K51" s="4"/>
    </row>
    <row r="52" spans="1:11" s="5" customFormat="1" ht="12.75">
      <c r="A52" s="104" t="s">
        <v>310</v>
      </c>
      <c r="B52" s="82" t="s">
        <v>28</v>
      </c>
      <c r="C52" s="41" t="s">
        <v>308</v>
      </c>
      <c r="D52" s="40" t="s">
        <v>307</v>
      </c>
      <c r="E52" s="83">
        <v>1</v>
      </c>
      <c r="F52" s="82" t="s">
        <v>113</v>
      </c>
      <c r="G52" s="84">
        <f>55.19/1.23</f>
        <v>44.86991869918699</v>
      </c>
      <c r="H52" s="84">
        <f>I11*G52+G52</f>
        <v>53.99646016260162</v>
      </c>
      <c r="I52" s="84">
        <f>H52*E52</f>
        <v>53.99646016260162</v>
      </c>
      <c r="J52" s="25"/>
      <c r="K52" s="4"/>
    </row>
    <row r="53" spans="1:11" s="5" customFormat="1" ht="25.5">
      <c r="A53" s="104" t="s">
        <v>311</v>
      </c>
      <c r="B53" s="82" t="s">
        <v>28</v>
      </c>
      <c r="C53" s="41" t="s">
        <v>150</v>
      </c>
      <c r="D53" s="44" t="s">
        <v>149</v>
      </c>
      <c r="E53" s="87">
        <v>1</v>
      </c>
      <c r="F53" s="86" t="s">
        <v>4</v>
      </c>
      <c r="G53" s="88">
        <f>1310.81/1.23</f>
        <v>1065.69918699187</v>
      </c>
      <c r="H53" s="88">
        <f>I11*G53+G53</f>
        <v>1282.4624016260163</v>
      </c>
      <c r="I53" s="88">
        <f>H53*E53</f>
        <v>1282.4624016260163</v>
      </c>
      <c r="J53" s="25"/>
      <c r="K53" s="4"/>
    </row>
    <row r="54" spans="1:11" s="5" customFormat="1" ht="24.75" customHeight="1">
      <c r="A54" s="57">
        <v>4</v>
      </c>
      <c r="B54" s="58" t="s">
        <v>297</v>
      </c>
      <c r="C54" s="59"/>
      <c r="D54" s="60"/>
      <c r="E54" s="98"/>
      <c r="F54" s="60"/>
      <c r="G54" s="60"/>
      <c r="H54" s="60"/>
      <c r="I54" s="62">
        <f>I55</f>
        <v>2148.7205970731707</v>
      </c>
      <c r="J54" s="25"/>
      <c r="K54" s="4"/>
    </row>
    <row r="55" spans="1:11" s="5" customFormat="1" ht="25.5">
      <c r="A55" s="151" t="s">
        <v>78</v>
      </c>
      <c r="B55" s="82" t="s">
        <v>28</v>
      </c>
      <c r="C55" s="45" t="s">
        <v>60</v>
      </c>
      <c r="D55" s="50" t="s">
        <v>59</v>
      </c>
      <c r="E55" s="83">
        <v>39.6</v>
      </c>
      <c r="F55" s="82" t="s">
        <v>8</v>
      </c>
      <c r="G55" s="84">
        <f>55.46/1.23</f>
        <v>45.08943089430895</v>
      </c>
      <c r="H55" s="84">
        <f>I11*G55+G55</f>
        <v>54.260621138211384</v>
      </c>
      <c r="I55" s="84">
        <f>H55*E55</f>
        <v>2148.7205970731707</v>
      </c>
      <c r="J55" s="25"/>
      <c r="K55" s="4"/>
    </row>
    <row r="56" spans="1:11" s="5" customFormat="1" ht="24.75" customHeight="1">
      <c r="A56" s="57">
        <v>5</v>
      </c>
      <c r="B56" s="58" t="s">
        <v>298</v>
      </c>
      <c r="C56" s="59"/>
      <c r="D56" s="60"/>
      <c r="E56" s="98"/>
      <c r="F56" s="60"/>
      <c r="G56" s="60"/>
      <c r="H56" s="60"/>
      <c r="I56" s="62">
        <f>SUM(I57:I58)</f>
        <v>9282.265446666666</v>
      </c>
      <c r="J56" s="25"/>
      <c r="K56" s="4"/>
    </row>
    <row r="57" spans="1:11" s="5" customFormat="1" ht="25.5">
      <c r="A57" s="104" t="s">
        <v>92</v>
      </c>
      <c r="B57" s="82" t="s">
        <v>28</v>
      </c>
      <c r="C57" s="41" t="s">
        <v>300</v>
      </c>
      <c r="D57" s="42" t="s">
        <v>299</v>
      </c>
      <c r="E57" s="83">
        <v>77.9</v>
      </c>
      <c r="F57" s="82" t="s">
        <v>17</v>
      </c>
      <c r="G57" s="84">
        <f>4.74/1.23</f>
        <v>3.853658536585366</v>
      </c>
      <c r="H57" s="84">
        <f>I11*G57+G57</f>
        <v>4.63749268292683</v>
      </c>
      <c r="I57" s="84">
        <f>H57*E57</f>
        <v>361.26068000000004</v>
      </c>
      <c r="J57" s="25"/>
      <c r="K57" s="4"/>
    </row>
    <row r="58" spans="1:11" s="5" customFormat="1" ht="25.5">
      <c r="A58" s="104" t="s">
        <v>104</v>
      </c>
      <c r="B58" s="82" t="s">
        <v>28</v>
      </c>
      <c r="C58" s="41" t="s">
        <v>302</v>
      </c>
      <c r="D58" s="140" t="s">
        <v>301</v>
      </c>
      <c r="E58" s="83">
        <v>77.9</v>
      </c>
      <c r="F58" s="82" t="s">
        <v>17</v>
      </c>
      <c r="G58" s="84">
        <f>117.05/1.23</f>
        <v>95.16260162601625</v>
      </c>
      <c r="H58" s="84">
        <f>I11*G58+G58</f>
        <v>114.51867479674796</v>
      </c>
      <c r="I58" s="84">
        <f>H58*E58</f>
        <v>8921.004766666667</v>
      </c>
      <c r="J58" s="25"/>
      <c r="K58" s="4"/>
    </row>
    <row r="59" spans="1:11" s="5" customFormat="1" ht="27" customHeight="1">
      <c r="A59" s="57">
        <v>6</v>
      </c>
      <c r="B59" s="58" t="s">
        <v>199</v>
      </c>
      <c r="C59" s="59"/>
      <c r="D59" s="60"/>
      <c r="E59" s="98"/>
      <c r="F59" s="60"/>
      <c r="G59" s="60"/>
      <c r="H59" s="60"/>
      <c r="I59" s="62">
        <f>SUM(I60:I63)</f>
        <v>27004.624440146337</v>
      </c>
      <c r="J59" s="25"/>
      <c r="K59" s="4"/>
    </row>
    <row r="60" spans="1:11" s="5" customFormat="1" ht="12.75">
      <c r="A60" s="104" t="s">
        <v>102</v>
      </c>
      <c r="B60" s="86" t="s">
        <v>28</v>
      </c>
      <c r="C60" s="108" t="s">
        <v>200</v>
      </c>
      <c r="D60" s="109" t="s">
        <v>207</v>
      </c>
      <c r="E60" s="87">
        <f>'MEMÓRIA DE CALCULO'!K123</f>
        <v>328.91999999999996</v>
      </c>
      <c r="F60" s="86" t="s">
        <v>8</v>
      </c>
      <c r="G60" s="88">
        <f>36.01/1.23</f>
        <v>29.27642276422764</v>
      </c>
      <c r="H60" s="88">
        <f>I11*G60+G60</f>
        <v>35.23124715447154</v>
      </c>
      <c r="I60" s="88">
        <f>H60*E60</f>
        <v>11588.261814048778</v>
      </c>
      <c r="J60" s="25"/>
      <c r="K60" s="4"/>
    </row>
    <row r="61" spans="1:11" s="5" customFormat="1" ht="12.75">
      <c r="A61" s="104" t="s">
        <v>103</v>
      </c>
      <c r="B61" s="86" t="s">
        <v>28</v>
      </c>
      <c r="C61" s="108" t="s">
        <v>200</v>
      </c>
      <c r="D61" t="s">
        <v>208</v>
      </c>
      <c r="E61" s="87">
        <f>'MEMÓRIA DE CALCULO'!K156</f>
        <v>305.61</v>
      </c>
      <c r="F61" s="86" t="s">
        <v>8</v>
      </c>
      <c r="G61" s="88">
        <f>36.01/1.23</f>
        <v>29.27642276422764</v>
      </c>
      <c r="H61" s="88">
        <f>I11*G61+G61</f>
        <v>35.23124715447154</v>
      </c>
      <c r="I61" s="88">
        <f>H61*E61</f>
        <v>10767.021442878047</v>
      </c>
      <c r="J61" s="25"/>
      <c r="K61" s="4"/>
    </row>
    <row r="62" spans="1:11" s="5" customFormat="1" ht="12.75">
      <c r="A62" s="104" t="s">
        <v>312</v>
      </c>
      <c r="B62" s="86" t="s">
        <v>28</v>
      </c>
      <c r="C62" s="107" t="s">
        <v>212</v>
      </c>
      <c r="D62" s="40" t="s">
        <v>211</v>
      </c>
      <c r="E62" s="87">
        <f>'MEMÓRIA DE CALCULO'!M166</f>
        <v>79.67999999999999</v>
      </c>
      <c r="F62" s="86" t="s">
        <v>8</v>
      </c>
      <c r="G62" s="88">
        <f>34.76/1.23</f>
        <v>28.260162601626014</v>
      </c>
      <c r="H62" s="88">
        <f>I11*G62+G62</f>
        <v>34.008279674796746</v>
      </c>
      <c r="I62" s="88">
        <f>H62*E62</f>
        <v>2709.7797244878043</v>
      </c>
      <c r="J62" s="25"/>
      <c r="K62" s="4"/>
    </row>
    <row r="63" spans="1:11" s="5" customFormat="1" ht="12.75">
      <c r="A63" s="104" t="s">
        <v>313</v>
      </c>
      <c r="B63" s="86" t="s">
        <v>28</v>
      </c>
      <c r="C63" s="33" t="s">
        <v>213</v>
      </c>
      <c r="D63" s="40" t="s">
        <v>325</v>
      </c>
      <c r="E63" s="87">
        <f>'MEMÓRIA DE CALCULO'!M171</f>
        <v>59.64</v>
      </c>
      <c r="F63" s="86" t="s">
        <v>8</v>
      </c>
      <c r="G63" s="88">
        <f>33.24/1.23</f>
        <v>27.02439024390244</v>
      </c>
      <c r="H63" s="88">
        <f>I11*G63+G63</f>
        <v>32.5211512195122</v>
      </c>
      <c r="I63" s="88">
        <f>H63*E63</f>
        <v>1939.5614587317075</v>
      </c>
      <c r="J63" s="25"/>
      <c r="K63" s="4"/>
    </row>
    <row r="64" spans="1:10" s="21" customFormat="1" ht="28.5" customHeight="1">
      <c r="A64" s="154" t="s">
        <v>5</v>
      </c>
      <c r="B64" s="154"/>
      <c r="C64" s="154"/>
      <c r="D64" s="154"/>
      <c r="E64" s="154"/>
      <c r="F64" s="154"/>
      <c r="G64" s="154"/>
      <c r="H64" s="154"/>
      <c r="I64" s="91">
        <f>I59+I56+I54+I30+I28+I13</f>
        <v>112300.63760578564</v>
      </c>
      <c r="J64" s="28"/>
    </row>
    <row r="66" spans="7:10" ht="12.75">
      <c r="G66" s="3"/>
      <c r="I66" s="23"/>
      <c r="J66" s="23"/>
    </row>
    <row r="67" ht="12.75">
      <c r="G67" s="3"/>
    </row>
    <row r="68" spans="7:9" ht="12.75">
      <c r="G68" s="157" t="s">
        <v>327</v>
      </c>
      <c r="H68" s="157"/>
      <c r="I68" s="157"/>
    </row>
    <row r="69" spans="7:9" ht="12.75">
      <c r="G69" s="139"/>
      <c r="H69" s="152"/>
      <c r="I69" s="139"/>
    </row>
    <row r="70" spans="7:9" ht="12.75">
      <c r="G70" s="139"/>
      <c r="H70" s="152"/>
      <c r="I70" s="139"/>
    </row>
    <row r="71" spans="7:10" ht="12.75">
      <c r="G71" s="157" t="s">
        <v>226</v>
      </c>
      <c r="H71" s="157"/>
      <c r="I71" s="157"/>
      <c r="J71" s="10"/>
    </row>
    <row r="72" spans="7:10" ht="11.25" customHeight="1">
      <c r="G72" s="157" t="s">
        <v>227</v>
      </c>
      <c r="H72" s="157"/>
      <c r="I72" s="157"/>
      <c r="J72" s="15"/>
    </row>
    <row r="73" spans="7:10" ht="12.75">
      <c r="G73" s="157" t="s">
        <v>228</v>
      </c>
      <c r="H73" s="157"/>
      <c r="I73" s="157"/>
      <c r="J73" s="14"/>
    </row>
    <row r="74" spans="7:10" ht="12.75">
      <c r="G74" s="157" t="s">
        <v>229</v>
      </c>
      <c r="H74" s="157"/>
      <c r="I74" s="157"/>
      <c r="J74" s="19"/>
    </row>
    <row r="75" spans="8:10" ht="12.75">
      <c r="H75" s="155"/>
      <c r="I75" s="155"/>
      <c r="J75" s="20"/>
    </row>
    <row r="76" spans="8:10" ht="12.75">
      <c r="H76" s="1"/>
      <c r="I76" s="10"/>
      <c r="J76" s="10"/>
    </row>
  </sheetData>
  <autoFilter ref="H1:H74"/>
  <mergeCells count="8">
    <mergeCell ref="H75:I75"/>
    <mergeCell ref="A64:H64"/>
    <mergeCell ref="A1:I6"/>
    <mergeCell ref="G68:I68"/>
    <mergeCell ref="G71:I71"/>
    <mergeCell ref="G72:I72"/>
    <mergeCell ref="G73:I73"/>
    <mergeCell ref="G74:I74"/>
  </mergeCells>
  <printOptions/>
  <pageMargins left="0.3937007874015748" right="0.3937007874015748" top="0.35433070866141736" bottom="0.5905511811023623" header="0.11811023622047245" footer="0.11811023622047245"/>
  <pageSetup fitToHeight="2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186"/>
  <sheetViews>
    <sheetView workbookViewId="0" topLeftCell="A151">
      <selection activeCell="P169" sqref="P169"/>
    </sheetView>
  </sheetViews>
  <sheetFormatPr defaultColWidth="9.33203125" defaultRowHeight="12.75"/>
  <cols>
    <col min="8" max="8" width="10" style="0" bestFit="1" customWidth="1"/>
  </cols>
  <sheetData>
    <row r="4" spans="1:16" ht="12.75">
      <c r="A4" s="111"/>
      <c r="B4" s="112" t="s">
        <v>30</v>
      </c>
      <c r="C4" s="114" t="s">
        <v>23</v>
      </c>
      <c r="D4" s="111"/>
      <c r="E4" s="111"/>
      <c r="F4" s="111"/>
      <c r="G4" s="111"/>
      <c r="H4" s="111"/>
      <c r="I4" s="111"/>
      <c r="J4" s="111">
        <v>15</v>
      </c>
      <c r="K4" s="112" t="s">
        <v>31</v>
      </c>
      <c r="L4" s="111"/>
      <c r="M4" s="111"/>
      <c r="N4" s="111"/>
      <c r="O4" s="112"/>
      <c r="P4" s="111"/>
    </row>
    <row r="5" spans="2:17" ht="12.75">
      <c r="B5" s="29" t="s">
        <v>2</v>
      </c>
      <c r="C5" s="37" t="s">
        <v>24</v>
      </c>
      <c r="J5">
        <v>6</v>
      </c>
      <c r="K5" s="29" t="s">
        <v>36</v>
      </c>
      <c r="L5" s="29"/>
      <c r="P5" s="29"/>
      <c r="Q5" s="29"/>
    </row>
    <row r="6" spans="2:17" ht="12.75">
      <c r="B6" s="29" t="s">
        <v>29</v>
      </c>
      <c r="C6" t="s">
        <v>25</v>
      </c>
      <c r="K6" s="29"/>
      <c r="L6" s="29"/>
      <c r="P6" s="29"/>
      <c r="Q6" s="29"/>
    </row>
    <row r="7" spans="11:17" ht="12.75">
      <c r="K7" s="29"/>
      <c r="L7" s="29"/>
      <c r="P7" s="29"/>
      <c r="Q7" s="29"/>
    </row>
    <row r="8" spans="3:8" ht="12.75">
      <c r="C8">
        <v>6</v>
      </c>
      <c r="D8" s="29" t="s">
        <v>31</v>
      </c>
      <c r="H8" s="29"/>
    </row>
    <row r="9" spans="3:9" ht="12.75">
      <c r="C9">
        <v>1</v>
      </c>
      <c r="D9" s="29" t="s">
        <v>17</v>
      </c>
      <c r="E9" s="29" t="s">
        <v>32</v>
      </c>
      <c r="H9" s="34">
        <f>C8*C9*C10*C11</f>
        <v>0.6000000000000001</v>
      </c>
      <c r="I9" s="35" t="s">
        <v>7</v>
      </c>
    </row>
    <row r="10" spans="3:5" ht="12.75">
      <c r="C10">
        <v>1</v>
      </c>
      <c r="D10" s="29" t="s">
        <v>17</v>
      </c>
      <c r="E10" s="29" t="s">
        <v>33</v>
      </c>
    </row>
    <row r="11" spans="3:5" ht="12.75">
      <c r="C11" s="29">
        <v>0.1</v>
      </c>
      <c r="D11" s="29" t="s">
        <v>17</v>
      </c>
      <c r="E11" s="29" t="s">
        <v>35</v>
      </c>
    </row>
    <row r="13" spans="2:3" ht="12.75">
      <c r="B13" s="138" t="s">
        <v>40</v>
      </c>
      <c r="C13" s="138" t="s">
        <v>66</v>
      </c>
    </row>
    <row r="15" spans="3:8" ht="12.75">
      <c r="C15">
        <v>5</v>
      </c>
      <c r="D15" s="138" t="s">
        <v>31</v>
      </c>
      <c r="H15" s="138"/>
    </row>
    <row r="16" spans="3:9" ht="12.75">
      <c r="C16">
        <v>1</v>
      </c>
      <c r="D16" s="138" t="s">
        <v>17</v>
      </c>
      <c r="E16" s="138" t="s">
        <v>32</v>
      </c>
      <c r="H16" s="34">
        <f>C15*C16*C17</f>
        <v>5</v>
      </c>
      <c r="I16" s="35" t="s">
        <v>8</v>
      </c>
    </row>
    <row r="17" spans="3:5" ht="12.75">
      <c r="C17">
        <v>1</v>
      </c>
      <c r="D17" s="138" t="s">
        <v>17</v>
      </c>
      <c r="E17" s="138" t="s">
        <v>33</v>
      </c>
    </row>
    <row r="18" spans="3:5" ht="12.75">
      <c r="C18" s="138"/>
      <c r="D18" s="138"/>
      <c r="E18" s="138"/>
    </row>
    <row r="21" spans="2:3" ht="12.75">
      <c r="B21" s="29" t="s">
        <v>40</v>
      </c>
      <c r="C21" s="29" t="s">
        <v>37</v>
      </c>
    </row>
    <row r="23" spans="3:8" ht="12.75">
      <c r="C23">
        <v>1</v>
      </c>
      <c r="D23" s="29" t="s">
        <v>17</v>
      </c>
      <c r="E23" s="29" t="s">
        <v>32</v>
      </c>
      <c r="G23" s="34">
        <f>J4*C23*C24*C25</f>
        <v>27</v>
      </c>
      <c r="H23" s="35" t="s">
        <v>39</v>
      </c>
    </row>
    <row r="24" spans="3:5" ht="12.75">
      <c r="C24">
        <v>1</v>
      </c>
      <c r="D24" s="29" t="s">
        <v>17</v>
      </c>
      <c r="E24" s="29" t="s">
        <v>33</v>
      </c>
    </row>
    <row r="25" spans="3:5" ht="12.75">
      <c r="C25">
        <v>1.8</v>
      </c>
      <c r="D25" s="29" t="s">
        <v>17</v>
      </c>
      <c r="E25" s="29" t="s">
        <v>34</v>
      </c>
    </row>
    <row r="28" spans="2:3" ht="12.75">
      <c r="B28" s="29" t="s">
        <v>3</v>
      </c>
      <c r="C28" s="37" t="s">
        <v>44</v>
      </c>
    </row>
    <row r="29" spans="2:14" ht="12.75">
      <c r="B29" s="29" t="s">
        <v>45</v>
      </c>
      <c r="C29" s="38" t="s">
        <v>10</v>
      </c>
      <c r="J29">
        <v>15</v>
      </c>
      <c r="K29" s="30" t="s">
        <v>31</v>
      </c>
      <c r="N29" s="30"/>
    </row>
    <row r="30" spans="2:11" ht="12.75">
      <c r="B30" s="29" t="s">
        <v>46</v>
      </c>
      <c r="C30" s="38" t="s">
        <v>22</v>
      </c>
      <c r="J30">
        <v>6</v>
      </c>
      <c r="K30" s="30" t="s">
        <v>36</v>
      </c>
    </row>
    <row r="32" spans="3:4" ht="12.75">
      <c r="C32" s="36">
        <f>J4*J5</f>
        <v>90</v>
      </c>
      <c r="D32" s="36" t="s">
        <v>17</v>
      </c>
    </row>
    <row r="34" ht="12.75">
      <c r="C34" s="39"/>
    </row>
    <row r="35" spans="2:3" ht="12.75">
      <c r="B35" s="29" t="s">
        <v>47</v>
      </c>
      <c r="C35" s="37" t="s">
        <v>48</v>
      </c>
    </row>
    <row r="36" spans="2:3" ht="12.75">
      <c r="B36" s="29" t="s">
        <v>49</v>
      </c>
      <c r="C36" s="29" t="s">
        <v>52</v>
      </c>
    </row>
    <row r="38" spans="5:6" ht="12.75">
      <c r="E38" s="34">
        <f>G23</f>
        <v>27</v>
      </c>
      <c r="F38" s="35" t="s">
        <v>39</v>
      </c>
    </row>
    <row r="41" spans="2:3" ht="12.75">
      <c r="B41" s="29" t="s">
        <v>50</v>
      </c>
      <c r="C41" s="29" t="s">
        <v>54</v>
      </c>
    </row>
    <row r="43" spans="3:8" ht="12.75">
      <c r="C43">
        <v>1</v>
      </c>
      <c r="D43" s="29" t="s">
        <v>17</v>
      </c>
      <c r="E43" s="29" t="s">
        <v>32</v>
      </c>
      <c r="G43" s="34">
        <f>C43*C44*C45</f>
        <v>6</v>
      </c>
      <c r="H43" s="35" t="s">
        <v>8</v>
      </c>
    </row>
    <row r="44" spans="3:5" ht="12.75">
      <c r="C44">
        <v>1</v>
      </c>
      <c r="D44" s="29" t="s">
        <v>17</v>
      </c>
      <c r="E44" s="29" t="s">
        <v>33</v>
      </c>
    </row>
    <row r="45" spans="3:4" ht="12.75">
      <c r="C45">
        <v>6</v>
      </c>
      <c r="D45" s="29" t="s">
        <v>31</v>
      </c>
    </row>
    <row r="48" spans="2:3" ht="12.75">
      <c r="B48" s="29" t="s">
        <v>51</v>
      </c>
      <c r="C48" s="29" t="s">
        <v>56</v>
      </c>
    </row>
    <row r="50" spans="3:8" ht="12.75">
      <c r="C50">
        <v>1</v>
      </c>
      <c r="D50" s="29" t="s">
        <v>17</v>
      </c>
      <c r="E50" s="29" t="s">
        <v>32</v>
      </c>
      <c r="G50" s="34">
        <f>4*C52*C53</f>
        <v>1.44</v>
      </c>
      <c r="H50" s="35" t="s">
        <v>8</v>
      </c>
    </row>
    <row r="51" spans="3:5" ht="12.75">
      <c r="C51">
        <v>1</v>
      </c>
      <c r="D51" s="29" t="s">
        <v>17</v>
      </c>
      <c r="E51" s="29" t="s">
        <v>33</v>
      </c>
    </row>
    <row r="52" spans="3:4" ht="12.75">
      <c r="C52">
        <v>6</v>
      </c>
      <c r="D52" s="29" t="s">
        <v>31</v>
      </c>
    </row>
    <row r="53" spans="3:4" ht="12.75">
      <c r="C53">
        <v>0.06</v>
      </c>
      <c r="D53" s="29" t="s">
        <v>58</v>
      </c>
    </row>
    <row r="56" spans="2:3" ht="12.75">
      <c r="B56" s="29" t="s">
        <v>61</v>
      </c>
      <c r="C56" s="29" t="s">
        <v>59</v>
      </c>
    </row>
    <row r="58" spans="3:8" ht="12.75">
      <c r="C58">
        <v>1</v>
      </c>
      <c r="D58" s="29" t="s">
        <v>17</v>
      </c>
      <c r="E58" s="29" t="s">
        <v>32</v>
      </c>
      <c r="G58" s="34">
        <f>C58*C59*C60</f>
        <v>6</v>
      </c>
      <c r="H58" s="35" t="s">
        <v>8</v>
      </c>
    </row>
    <row r="59" spans="3:5" ht="12.75">
      <c r="C59">
        <v>1</v>
      </c>
      <c r="D59" s="29" t="s">
        <v>17</v>
      </c>
      <c r="E59" s="29" t="s">
        <v>33</v>
      </c>
    </row>
    <row r="60" spans="3:4" ht="12" customHeight="1">
      <c r="C60">
        <v>6</v>
      </c>
      <c r="D60" s="29" t="s">
        <v>31</v>
      </c>
    </row>
    <row r="61" ht="12" customHeight="1">
      <c r="D61" s="138"/>
    </row>
    <row r="62" ht="12" customHeight="1">
      <c r="D62" s="138"/>
    </row>
    <row r="63" spans="2:3" ht="12" customHeight="1">
      <c r="B63" s="138" t="s">
        <v>263</v>
      </c>
      <c r="C63" s="138" t="s">
        <v>99</v>
      </c>
    </row>
    <row r="64" spans="2:13" ht="12" customHeight="1">
      <c r="B64" s="138" t="s">
        <v>264</v>
      </c>
      <c r="C64" s="158" t="s">
        <v>101</v>
      </c>
      <c r="D64" s="158"/>
      <c r="E64" s="158"/>
      <c r="F64" s="158"/>
      <c r="G64" s="158"/>
      <c r="H64" s="158"/>
      <c r="I64" s="158"/>
      <c r="J64" s="158"/>
      <c r="K64" s="158"/>
      <c r="L64" s="158"/>
      <c r="M64" s="158"/>
    </row>
    <row r="65" ht="12" customHeight="1"/>
    <row r="66" spans="2:8" ht="12" customHeight="1">
      <c r="B66" s="138"/>
      <c r="C66">
        <v>5</v>
      </c>
      <c r="D66" s="138" t="s">
        <v>31</v>
      </c>
      <c r="H66" s="138"/>
    </row>
    <row r="67" spans="2:9" ht="12" customHeight="1">
      <c r="B67" s="138"/>
      <c r="C67">
        <v>1</v>
      </c>
      <c r="D67" s="138" t="s">
        <v>17</v>
      </c>
      <c r="E67" s="138" t="s">
        <v>32</v>
      </c>
      <c r="H67" s="34">
        <f>C66*C67*C68</f>
        <v>5</v>
      </c>
      <c r="I67" s="35" t="s">
        <v>8</v>
      </c>
    </row>
    <row r="68" spans="3:5" ht="12" customHeight="1">
      <c r="C68">
        <v>1</v>
      </c>
      <c r="D68" s="138" t="s">
        <v>17</v>
      </c>
      <c r="E68" s="138" t="s">
        <v>33</v>
      </c>
    </row>
    <row r="69" spans="3:5" ht="12" customHeight="1">
      <c r="C69" s="138"/>
      <c r="D69" s="138"/>
      <c r="E69" s="138"/>
    </row>
    <row r="70" ht="12" customHeight="1">
      <c r="D70" s="138"/>
    </row>
    <row r="71" ht="12.75">
      <c r="D71" s="138"/>
    </row>
    <row r="72" spans="1:16" ht="12.75">
      <c r="A72" s="111"/>
      <c r="B72" s="112" t="s">
        <v>73</v>
      </c>
      <c r="C72" s="113" t="s">
        <v>62</v>
      </c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</row>
    <row r="73" spans="2:3" ht="12.75">
      <c r="B73" s="29" t="s">
        <v>74</v>
      </c>
      <c r="C73" s="43" t="s">
        <v>265</v>
      </c>
    </row>
    <row r="74" spans="2:3" ht="12.75">
      <c r="B74" s="29" t="s">
        <v>107</v>
      </c>
      <c r="C74" s="29" t="s">
        <v>66</v>
      </c>
    </row>
    <row r="75" spans="3:9" ht="12.75">
      <c r="C75" s="29">
        <v>30.76</v>
      </c>
      <c r="D75" s="29" t="s">
        <v>8</v>
      </c>
      <c r="E75" s="29" t="s">
        <v>265</v>
      </c>
      <c r="H75" s="34">
        <f>C75</f>
        <v>30.76</v>
      </c>
      <c r="I75" s="35" t="s">
        <v>8</v>
      </c>
    </row>
    <row r="76" spans="3:5" ht="12.75">
      <c r="C76" s="29"/>
      <c r="D76" s="29"/>
      <c r="E76" s="29"/>
    </row>
    <row r="77" ht="12.75">
      <c r="C77" s="29"/>
    </row>
    <row r="78" spans="2:3" ht="12.75">
      <c r="B78" s="29" t="s">
        <v>108</v>
      </c>
      <c r="C78" t="s">
        <v>266</v>
      </c>
    </row>
    <row r="79" spans="2:9" ht="12.75">
      <c r="B79" s="138"/>
      <c r="C79" s="138">
        <v>30.76</v>
      </c>
      <c r="D79" s="138" t="s">
        <v>8</v>
      </c>
      <c r="E79" s="138" t="s">
        <v>265</v>
      </c>
      <c r="H79" s="34">
        <f>C79*C80</f>
        <v>3.0760000000000005</v>
      </c>
      <c r="I79" s="35" t="s">
        <v>7</v>
      </c>
    </row>
    <row r="80" spans="2:5" ht="12.75">
      <c r="B80" s="138"/>
      <c r="C80">
        <v>0.1</v>
      </c>
      <c r="D80" t="s">
        <v>17</v>
      </c>
      <c r="E80" t="s">
        <v>84</v>
      </c>
    </row>
    <row r="81" spans="3:9" ht="12.75">
      <c r="C81" s="138"/>
      <c r="F81" s="138"/>
      <c r="I81" s="138"/>
    </row>
    <row r="82" spans="3:9" ht="12.75">
      <c r="C82" s="138"/>
      <c r="F82" s="138"/>
      <c r="I82" s="138"/>
    </row>
    <row r="83" ht="12.75">
      <c r="C83" s="138"/>
    </row>
    <row r="84" spans="2:3" ht="12.75">
      <c r="B84" s="29" t="s">
        <v>109</v>
      </c>
      <c r="C84" t="s">
        <v>52</v>
      </c>
    </row>
    <row r="85" spans="3:9" ht="12.75">
      <c r="C85" s="138">
        <v>30.76</v>
      </c>
      <c r="D85" s="138" t="s">
        <v>8</v>
      </c>
      <c r="E85" s="138" t="s">
        <v>265</v>
      </c>
      <c r="H85" s="34">
        <f>C85*C86</f>
        <v>12.304000000000002</v>
      </c>
      <c r="I85" s="35" t="s">
        <v>7</v>
      </c>
    </row>
    <row r="86" spans="3:5" ht="12.75">
      <c r="C86">
        <v>0.4</v>
      </c>
      <c r="D86" t="s">
        <v>17</v>
      </c>
      <c r="E86" t="s">
        <v>84</v>
      </c>
    </row>
    <row r="87" ht="12.75">
      <c r="C87" s="38"/>
    </row>
    <row r="88" ht="12.75">
      <c r="C88" s="38"/>
    </row>
    <row r="89" spans="2:3" ht="12.75">
      <c r="B89" s="29" t="s">
        <v>110</v>
      </c>
      <c r="C89" s="11" t="s">
        <v>54</v>
      </c>
    </row>
    <row r="90" spans="2:4" ht="12.75">
      <c r="B90" t="s">
        <v>111</v>
      </c>
      <c r="C90" s="11" t="s">
        <v>182</v>
      </c>
      <c r="D90" s="138"/>
    </row>
    <row r="91" spans="2:4" ht="12.75">
      <c r="B91" t="s">
        <v>271</v>
      </c>
      <c r="C91" s="138" t="s">
        <v>99</v>
      </c>
      <c r="D91" s="138"/>
    </row>
    <row r="92" spans="2:4" ht="12.75">
      <c r="B92" t="s">
        <v>272</v>
      </c>
      <c r="C92" s="138" t="s">
        <v>101</v>
      </c>
      <c r="D92" s="138"/>
    </row>
    <row r="93" ht="12.75">
      <c r="C93" s="138"/>
    </row>
    <row r="94" spans="2:5" ht="12.75">
      <c r="B94" s="29"/>
      <c r="C94" s="35">
        <v>30.76</v>
      </c>
      <c r="D94" s="35" t="s">
        <v>8</v>
      </c>
      <c r="E94" s="35" t="s">
        <v>265</v>
      </c>
    </row>
    <row r="95" spans="2:5" ht="12.75">
      <c r="B95" s="138"/>
      <c r="C95" s="138"/>
      <c r="D95" s="138"/>
      <c r="E95" s="138"/>
    </row>
    <row r="96" spans="2:5" ht="12.75">
      <c r="B96" s="138" t="s">
        <v>75</v>
      </c>
      <c r="C96" s="138" t="s">
        <v>273</v>
      </c>
      <c r="D96" s="138"/>
      <c r="E96" s="138"/>
    </row>
    <row r="97" spans="2:5" ht="12.75">
      <c r="B97" s="138"/>
      <c r="C97" s="138"/>
      <c r="D97" s="138"/>
      <c r="E97" s="138"/>
    </row>
    <row r="98" spans="2:5" ht="12.75">
      <c r="B98" s="138" t="s">
        <v>115</v>
      </c>
      <c r="C98" t="s">
        <v>274</v>
      </c>
      <c r="D98" s="138"/>
      <c r="E98" s="138"/>
    </row>
    <row r="99" spans="2:5" ht="12.75">
      <c r="B99" s="138" t="s">
        <v>116</v>
      </c>
      <c r="C99" t="s">
        <v>141</v>
      </c>
      <c r="D99" s="138"/>
      <c r="E99" s="138"/>
    </row>
    <row r="100" spans="2:5" ht="12.75">
      <c r="B100" s="138" t="s">
        <v>117</v>
      </c>
      <c r="C100" t="s">
        <v>143</v>
      </c>
      <c r="D100" s="138"/>
      <c r="E100" s="138"/>
    </row>
    <row r="101" spans="2:5" ht="12.75">
      <c r="B101" s="138" t="s">
        <v>122</v>
      </c>
      <c r="C101" t="s">
        <v>277</v>
      </c>
      <c r="D101" s="138"/>
      <c r="E101" s="138"/>
    </row>
    <row r="102" spans="2:5" ht="12.75">
      <c r="B102" s="138"/>
      <c r="C102" s="138"/>
      <c r="D102" s="138"/>
      <c r="E102" s="138"/>
    </row>
    <row r="103" spans="2:15" ht="12.75">
      <c r="B103" s="138"/>
      <c r="C103" s="138">
        <v>12.2</v>
      </c>
      <c r="D103" s="138" t="s">
        <v>17</v>
      </c>
      <c r="E103" s="138" t="s">
        <v>279</v>
      </c>
      <c r="G103">
        <f>C103*C104</f>
        <v>36.599999999999994</v>
      </c>
      <c r="H103" s="138" t="s">
        <v>205</v>
      </c>
      <c r="J103" s="138" t="s">
        <v>221</v>
      </c>
      <c r="N103">
        <f>M104+M105+M106</f>
        <v>5.28</v>
      </c>
      <c r="O103" s="138" t="s">
        <v>205</v>
      </c>
    </row>
    <row r="104" spans="2:13" ht="12.75">
      <c r="B104" s="138"/>
      <c r="C104" s="138">
        <v>3</v>
      </c>
      <c r="D104" s="138" t="s">
        <v>17</v>
      </c>
      <c r="E104" s="138" t="s">
        <v>280</v>
      </c>
      <c r="J104" s="138" t="s">
        <v>281</v>
      </c>
      <c r="K104">
        <v>2</v>
      </c>
      <c r="L104">
        <v>1.2</v>
      </c>
      <c r="M104">
        <f>K104*L104</f>
        <v>2.4</v>
      </c>
    </row>
    <row r="105" spans="2:13" ht="12.75">
      <c r="B105" s="138"/>
      <c r="C105" s="138"/>
      <c r="D105" s="138"/>
      <c r="E105" s="138"/>
      <c r="J105" s="138" t="s">
        <v>282</v>
      </c>
      <c r="K105">
        <v>0.8</v>
      </c>
      <c r="L105">
        <v>2.1</v>
      </c>
      <c r="M105">
        <f>K105*L105</f>
        <v>1.6800000000000002</v>
      </c>
    </row>
    <row r="106" spans="2:13" ht="12.75">
      <c r="B106" s="138"/>
      <c r="C106" s="138"/>
      <c r="D106" s="138"/>
      <c r="E106" s="138"/>
      <c r="J106" s="138" t="s">
        <v>283</v>
      </c>
      <c r="K106">
        <v>1.2</v>
      </c>
      <c r="L106">
        <v>1</v>
      </c>
      <c r="M106">
        <f>K106*L106</f>
        <v>1.2</v>
      </c>
    </row>
    <row r="107" spans="2:5" ht="12.75">
      <c r="B107" s="138"/>
      <c r="C107" s="35" t="s">
        <v>206</v>
      </c>
      <c r="D107" s="34">
        <f>G103-N103</f>
        <v>31.319999999999993</v>
      </c>
      <c r="E107" s="35" t="s">
        <v>205</v>
      </c>
    </row>
    <row r="108" spans="2:5" ht="12.75">
      <c r="B108" s="138"/>
      <c r="C108" s="138"/>
      <c r="E108" s="138"/>
    </row>
    <row r="109" spans="2:5" ht="12.75">
      <c r="B109" s="138"/>
      <c r="C109" s="150"/>
      <c r="D109" s="150"/>
      <c r="E109" s="150"/>
    </row>
    <row r="110" spans="2:5" ht="12.75">
      <c r="B110" s="138" t="s">
        <v>284</v>
      </c>
      <c r="C110" s="150" t="s">
        <v>285</v>
      </c>
      <c r="D110" s="150"/>
      <c r="E110" s="150"/>
    </row>
    <row r="111" spans="2:5" ht="12.75">
      <c r="B111" s="138"/>
      <c r="C111" s="150"/>
      <c r="D111" s="150"/>
      <c r="E111" s="150"/>
    </row>
    <row r="112" spans="2:5" ht="12.75">
      <c r="B112" s="138" t="s">
        <v>290</v>
      </c>
      <c r="C112" s="138" t="s">
        <v>286</v>
      </c>
      <c r="D112" s="150"/>
      <c r="E112" s="150"/>
    </row>
    <row r="113" spans="2:5" ht="12.75">
      <c r="B113" s="138" t="s">
        <v>291</v>
      </c>
      <c r="C113" s="138" t="s">
        <v>288</v>
      </c>
      <c r="D113" s="150"/>
      <c r="E113" s="150"/>
    </row>
    <row r="114" spans="2:5" ht="12.75">
      <c r="B114" s="138" t="s">
        <v>292</v>
      </c>
      <c r="C114" s="138" t="s">
        <v>141</v>
      </c>
      <c r="D114" s="150"/>
      <c r="E114" s="150"/>
    </row>
    <row r="115" spans="2:5" ht="12.75">
      <c r="B115" s="138" t="s">
        <v>293</v>
      </c>
      <c r="C115" s="138" t="s">
        <v>143</v>
      </c>
      <c r="D115" s="150"/>
      <c r="E115" s="150"/>
    </row>
    <row r="116" spans="2:5" ht="12.75">
      <c r="B116" s="138" t="s">
        <v>294</v>
      </c>
      <c r="C116" t="s">
        <v>277</v>
      </c>
      <c r="D116" s="150"/>
      <c r="E116" s="150"/>
    </row>
    <row r="117" spans="2:5" ht="12.75">
      <c r="B117" s="138"/>
      <c r="C117" s="150"/>
      <c r="D117" s="150"/>
      <c r="E117" s="150"/>
    </row>
    <row r="118" spans="2:9" ht="12.75">
      <c r="B118" s="138"/>
      <c r="C118" s="150" t="s">
        <v>204</v>
      </c>
      <c r="D118" s="150">
        <v>40.2</v>
      </c>
      <c r="E118" s="150" t="s">
        <v>203</v>
      </c>
      <c r="G118" s="35" t="s">
        <v>206</v>
      </c>
      <c r="H118" s="34">
        <f>D118*D119</f>
        <v>60.300000000000004</v>
      </c>
      <c r="I118" s="35" t="s">
        <v>205</v>
      </c>
    </row>
    <row r="119" spans="2:5" ht="12.75">
      <c r="B119" s="138"/>
      <c r="C119" s="150" t="s">
        <v>295</v>
      </c>
      <c r="D119" s="150">
        <v>1.5</v>
      </c>
      <c r="E119" s="150" t="s">
        <v>203</v>
      </c>
    </row>
    <row r="120" spans="2:5" ht="12.75">
      <c r="B120" s="138"/>
      <c r="C120" s="150"/>
      <c r="D120" s="150"/>
      <c r="E120" s="150"/>
    </row>
    <row r="121" spans="2:5" ht="12.75">
      <c r="B121" s="138">
        <v>6</v>
      </c>
      <c r="C121" s="150" t="s">
        <v>199</v>
      </c>
      <c r="D121" s="150"/>
      <c r="E121" s="150"/>
    </row>
    <row r="122" spans="2:5" ht="12.75">
      <c r="B122" s="138"/>
      <c r="C122" s="150"/>
      <c r="D122" s="150"/>
      <c r="E122" s="150"/>
    </row>
    <row r="123" spans="2:12" ht="12.75">
      <c r="B123" s="138" t="s">
        <v>102</v>
      </c>
      <c r="C123" t="s">
        <v>207</v>
      </c>
      <c r="D123" s="150"/>
      <c r="E123" s="150"/>
      <c r="J123" s="35" t="s">
        <v>206</v>
      </c>
      <c r="K123" s="34">
        <f>P125+P129+P133+P137+P141+P145+P150</f>
        <v>328.91999999999996</v>
      </c>
      <c r="L123" s="35" t="s">
        <v>205</v>
      </c>
    </row>
    <row r="124" spans="2:5" ht="12.75">
      <c r="B124" s="138"/>
      <c r="D124" s="150"/>
      <c r="E124" s="150"/>
    </row>
    <row r="125" spans="2:17" ht="12.75">
      <c r="B125" s="138" t="s">
        <v>315</v>
      </c>
      <c r="C125" s="138" t="s">
        <v>316</v>
      </c>
      <c r="D125" s="150">
        <v>14.6</v>
      </c>
      <c r="E125" s="150" t="s">
        <v>318</v>
      </c>
      <c r="F125">
        <f>D125*D126</f>
        <v>43.8</v>
      </c>
      <c r="G125" s="138" t="s">
        <v>221</v>
      </c>
      <c r="M125">
        <f>K126+K127</f>
        <v>4.08</v>
      </c>
      <c r="O125" s="14" t="s">
        <v>206</v>
      </c>
      <c r="P125" s="14">
        <f>F125-M125</f>
        <v>39.72</v>
      </c>
      <c r="Q125" s="14" t="s">
        <v>205</v>
      </c>
    </row>
    <row r="126" spans="2:12" ht="12.75">
      <c r="B126" s="138"/>
      <c r="C126" s="138" t="s">
        <v>317</v>
      </c>
      <c r="D126" s="150">
        <v>3</v>
      </c>
      <c r="E126" s="150"/>
      <c r="G126" s="138" t="s">
        <v>223</v>
      </c>
      <c r="H126">
        <v>2</v>
      </c>
      <c r="I126">
        <v>1.2</v>
      </c>
      <c r="J126">
        <v>1</v>
      </c>
      <c r="K126">
        <f>H126*I126*J126</f>
        <v>2.4</v>
      </c>
      <c r="L126" s="138" t="s">
        <v>205</v>
      </c>
    </row>
    <row r="127" spans="2:12" ht="12.75">
      <c r="B127" s="138"/>
      <c r="D127" s="150"/>
      <c r="E127" s="150"/>
      <c r="G127" s="138" t="s">
        <v>222</v>
      </c>
      <c r="H127">
        <v>0.8</v>
      </c>
      <c r="I127">
        <v>2.1</v>
      </c>
      <c r="J127">
        <v>1</v>
      </c>
      <c r="K127">
        <f>H127*I127*J127</f>
        <v>1.6800000000000002</v>
      </c>
      <c r="L127" s="138" t="s">
        <v>205</v>
      </c>
    </row>
    <row r="128" spans="2:5" ht="12.75">
      <c r="B128" s="138"/>
      <c r="D128" s="150"/>
      <c r="E128" s="150"/>
    </row>
    <row r="129" spans="2:17" ht="12.75">
      <c r="B129" s="138" t="s">
        <v>319</v>
      </c>
      <c r="C129" s="138" t="s">
        <v>316</v>
      </c>
      <c r="D129" s="150">
        <v>22.6</v>
      </c>
      <c r="E129" s="150" t="s">
        <v>318</v>
      </c>
      <c r="F129">
        <f>D129*D130</f>
        <v>67.80000000000001</v>
      </c>
      <c r="G129" s="138" t="s">
        <v>221</v>
      </c>
      <c r="M129">
        <f>K130+K131</f>
        <v>6.48</v>
      </c>
      <c r="O129" s="14" t="s">
        <v>206</v>
      </c>
      <c r="P129" s="14">
        <f>F129-M129</f>
        <v>61.32000000000001</v>
      </c>
      <c r="Q129" s="14" t="s">
        <v>205</v>
      </c>
    </row>
    <row r="130" spans="2:12" ht="12.75">
      <c r="B130" s="138"/>
      <c r="C130" s="138" t="s">
        <v>317</v>
      </c>
      <c r="D130" s="150">
        <v>3</v>
      </c>
      <c r="E130" s="150"/>
      <c r="G130" s="138" t="s">
        <v>223</v>
      </c>
      <c r="H130">
        <v>2</v>
      </c>
      <c r="I130">
        <v>1.2</v>
      </c>
      <c r="J130">
        <v>2</v>
      </c>
      <c r="K130">
        <f>H130*I130*J130</f>
        <v>4.8</v>
      </c>
      <c r="L130" s="138" t="s">
        <v>205</v>
      </c>
    </row>
    <row r="131" spans="2:12" ht="12.75">
      <c r="B131" s="138"/>
      <c r="D131" s="150"/>
      <c r="E131" s="150"/>
      <c r="G131" s="138" t="s">
        <v>222</v>
      </c>
      <c r="H131">
        <v>0.8</v>
      </c>
      <c r="I131">
        <v>2.1</v>
      </c>
      <c r="J131">
        <v>1</v>
      </c>
      <c r="K131">
        <f>H131*I131*J131</f>
        <v>1.6800000000000002</v>
      </c>
      <c r="L131" s="138" t="s">
        <v>205</v>
      </c>
    </row>
    <row r="132" spans="2:5" ht="12.75">
      <c r="B132" s="138"/>
      <c r="D132" s="150"/>
      <c r="E132" s="150"/>
    </row>
    <row r="133" spans="2:17" ht="12.75">
      <c r="B133" s="138" t="s">
        <v>320</v>
      </c>
      <c r="C133" s="138" t="s">
        <v>316</v>
      </c>
      <c r="D133" s="150">
        <v>11.2</v>
      </c>
      <c r="E133" s="150" t="s">
        <v>318</v>
      </c>
      <c r="F133">
        <f>D133*D134</f>
        <v>33.599999999999994</v>
      </c>
      <c r="G133" s="138" t="s">
        <v>221</v>
      </c>
      <c r="M133">
        <f>K134+K135</f>
        <v>5.76</v>
      </c>
      <c r="O133" s="14" t="s">
        <v>206</v>
      </c>
      <c r="P133" s="14">
        <f>F133-M133</f>
        <v>27.839999999999996</v>
      </c>
      <c r="Q133" s="14" t="s">
        <v>205</v>
      </c>
    </row>
    <row r="134" spans="2:12" ht="12.75">
      <c r="B134" s="138"/>
      <c r="C134" s="138" t="s">
        <v>317</v>
      </c>
      <c r="D134" s="150">
        <v>3</v>
      </c>
      <c r="E134" s="150"/>
      <c r="G134" s="138" t="s">
        <v>223</v>
      </c>
      <c r="H134">
        <v>2</v>
      </c>
      <c r="I134">
        <v>1.2</v>
      </c>
      <c r="J134">
        <v>1</v>
      </c>
      <c r="K134">
        <f>H134*I134*J134</f>
        <v>2.4</v>
      </c>
      <c r="L134" s="138" t="s">
        <v>205</v>
      </c>
    </row>
    <row r="135" spans="2:12" ht="12.75">
      <c r="B135" s="138"/>
      <c r="D135" s="150"/>
      <c r="E135" s="150"/>
      <c r="G135" s="138" t="s">
        <v>222</v>
      </c>
      <c r="H135">
        <v>0.8</v>
      </c>
      <c r="I135">
        <v>2.1</v>
      </c>
      <c r="J135">
        <v>2</v>
      </c>
      <c r="K135">
        <f>H135*I135*J135</f>
        <v>3.3600000000000003</v>
      </c>
      <c r="L135" s="138" t="s">
        <v>205</v>
      </c>
    </row>
    <row r="136" spans="2:5" ht="12.75">
      <c r="B136" s="138"/>
      <c r="C136" s="150"/>
      <c r="D136" s="150"/>
      <c r="E136" s="150"/>
    </row>
    <row r="137" spans="2:17" ht="12.75">
      <c r="B137" s="138" t="s">
        <v>321</v>
      </c>
      <c r="C137" s="138" t="s">
        <v>316</v>
      </c>
      <c r="D137" s="150">
        <v>14.4</v>
      </c>
      <c r="E137" s="150" t="s">
        <v>318</v>
      </c>
      <c r="F137">
        <f>D137*D138</f>
        <v>43.2</v>
      </c>
      <c r="G137" s="138" t="s">
        <v>221</v>
      </c>
      <c r="M137">
        <f>K138+K139</f>
        <v>5.76</v>
      </c>
      <c r="O137" s="14" t="s">
        <v>206</v>
      </c>
      <c r="P137" s="14">
        <f>F137-M137</f>
        <v>37.440000000000005</v>
      </c>
      <c r="Q137" s="14" t="s">
        <v>205</v>
      </c>
    </row>
    <row r="138" spans="2:12" ht="12.75">
      <c r="B138" s="138"/>
      <c r="C138" s="138" t="s">
        <v>317</v>
      </c>
      <c r="D138" s="150">
        <v>3</v>
      </c>
      <c r="E138" s="150"/>
      <c r="G138" s="138" t="s">
        <v>223</v>
      </c>
      <c r="H138">
        <v>2</v>
      </c>
      <c r="I138">
        <v>1.2</v>
      </c>
      <c r="J138">
        <v>1</v>
      </c>
      <c r="K138">
        <f>H138*I138*J138</f>
        <v>2.4</v>
      </c>
      <c r="L138" s="138" t="s">
        <v>205</v>
      </c>
    </row>
    <row r="139" spans="2:12" ht="12.75">
      <c r="B139" s="138"/>
      <c r="D139" s="150"/>
      <c r="E139" s="150"/>
      <c r="G139" s="138" t="s">
        <v>222</v>
      </c>
      <c r="H139">
        <v>0.8</v>
      </c>
      <c r="I139">
        <v>2.1</v>
      </c>
      <c r="J139">
        <v>2</v>
      </c>
      <c r="K139">
        <f>H139*I139*J139</f>
        <v>3.3600000000000003</v>
      </c>
      <c r="L139" s="138" t="s">
        <v>205</v>
      </c>
    </row>
    <row r="140" spans="2:12" ht="12.75">
      <c r="B140" s="138"/>
      <c r="D140" s="150"/>
      <c r="E140" s="150"/>
      <c r="G140" s="138"/>
      <c r="L140" s="138"/>
    </row>
    <row r="141" spans="2:17" ht="12.75">
      <c r="B141" s="138" t="s">
        <v>322</v>
      </c>
      <c r="C141" s="138" t="s">
        <v>316</v>
      </c>
      <c r="D141" s="150">
        <v>14.2</v>
      </c>
      <c r="E141" s="150" t="s">
        <v>318</v>
      </c>
      <c r="F141">
        <f>D141*D142</f>
        <v>42.599999999999994</v>
      </c>
      <c r="G141" s="138" t="s">
        <v>221</v>
      </c>
      <c r="M141">
        <f>K142+K143</f>
        <v>5.76</v>
      </c>
      <c r="O141" s="14" t="s">
        <v>206</v>
      </c>
      <c r="P141" s="14">
        <f>F141-M141</f>
        <v>36.839999999999996</v>
      </c>
      <c r="Q141" s="14" t="s">
        <v>205</v>
      </c>
    </row>
    <row r="142" spans="2:12" ht="12.75">
      <c r="B142" s="138"/>
      <c r="C142" s="138" t="s">
        <v>317</v>
      </c>
      <c r="D142" s="150">
        <v>3</v>
      </c>
      <c r="E142" s="150"/>
      <c r="G142" s="138" t="s">
        <v>223</v>
      </c>
      <c r="H142">
        <v>2</v>
      </c>
      <c r="I142">
        <v>1.2</v>
      </c>
      <c r="J142">
        <v>1</v>
      </c>
      <c r="K142">
        <f>H142*I142*J142</f>
        <v>2.4</v>
      </c>
      <c r="L142" s="138" t="s">
        <v>205</v>
      </c>
    </row>
    <row r="143" spans="2:12" ht="12.75">
      <c r="B143" s="138"/>
      <c r="D143" s="150"/>
      <c r="E143" s="150"/>
      <c r="G143" s="138" t="s">
        <v>222</v>
      </c>
      <c r="H143">
        <v>0.8</v>
      </c>
      <c r="I143">
        <v>2.1</v>
      </c>
      <c r="J143">
        <v>2</v>
      </c>
      <c r="K143">
        <f>H143*I143*J143</f>
        <v>3.3600000000000003</v>
      </c>
      <c r="L143" s="138" t="s">
        <v>205</v>
      </c>
    </row>
    <row r="144" spans="2:12" ht="12.75">
      <c r="B144" s="138"/>
      <c r="D144" s="150"/>
      <c r="E144" s="150"/>
      <c r="G144" s="138"/>
      <c r="L144" s="138"/>
    </row>
    <row r="145" spans="2:17" ht="12.75">
      <c r="B145" s="138" t="s">
        <v>323</v>
      </c>
      <c r="C145" s="138" t="s">
        <v>316</v>
      </c>
      <c r="D145" s="150">
        <v>29.2</v>
      </c>
      <c r="E145" s="150" t="s">
        <v>318</v>
      </c>
      <c r="F145">
        <f>D145*D146</f>
        <v>87.6</v>
      </c>
      <c r="G145" s="138" t="s">
        <v>221</v>
      </c>
      <c r="M145">
        <f>K146+K147+K148</f>
        <v>19.32</v>
      </c>
      <c r="O145" s="14" t="s">
        <v>206</v>
      </c>
      <c r="P145" s="14">
        <f>F145-M145</f>
        <v>68.28</v>
      </c>
      <c r="Q145" s="14" t="s">
        <v>205</v>
      </c>
    </row>
    <row r="146" spans="2:12" ht="12.75">
      <c r="B146" s="138"/>
      <c r="C146" s="138" t="s">
        <v>317</v>
      </c>
      <c r="D146" s="150">
        <v>3</v>
      </c>
      <c r="E146" s="150"/>
      <c r="G146" s="138" t="s">
        <v>223</v>
      </c>
      <c r="H146">
        <v>2</v>
      </c>
      <c r="I146">
        <v>1.2</v>
      </c>
      <c r="J146">
        <v>0</v>
      </c>
      <c r="K146">
        <f>H146*I146*J146</f>
        <v>0</v>
      </c>
      <c r="L146" s="138" t="s">
        <v>205</v>
      </c>
    </row>
    <row r="147" spans="2:12" ht="12.75">
      <c r="B147" s="138"/>
      <c r="D147" s="150"/>
      <c r="E147" s="150"/>
      <c r="G147" s="138" t="s">
        <v>222</v>
      </c>
      <c r="H147">
        <v>0.8</v>
      </c>
      <c r="I147">
        <v>2.1</v>
      </c>
      <c r="J147">
        <v>8</v>
      </c>
      <c r="K147">
        <f>H147*I147*J147</f>
        <v>13.440000000000001</v>
      </c>
      <c r="L147" s="138" t="s">
        <v>205</v>
      </c>
    </row>
    <row r="148" spans="2:12" ht="12.75">
      <c r="B148" s="138"/>
      <c r="D148" s="150"/>
      <c r="E148" s="150"/>
      <c r="G148" s="138" t="s">
        <v>222</v>
      </c>
      <c r="H148">
        <v>1.4</v>
      </c>
      <c r="I148">
        <v>2.1</v>
      </c>
      <c r="J148">
        <v>2</v>
      </c>
      <c r="K148">
        <f>H148*I148*J148</f>
        <v>5.88</v>
      </c>
      <c r="L148" s="138" t="s">
        <v>205</v>
      </c>
    </row>
    <row r="149" spans="2:12" ht="12.75">
      <c r="B149" s="138"/>
      <c r="D149" s="150"/>
      <c r="E149" s="150"/>
      <c r="G149" s="138"/>
      <c r="L149" s="138"/>
    </row>
    <row r="150" spans="2:17" ht="12.75">
      <c r="B150" s="138" t="s">
        <v>324</v>
      </c>
      <c r="C150" s="138" t="s">
        <v>316</v>
      </c>
      <c r="D150" s="150">
        <v>44.8</v>
      </c>
      <c r="E150" s="150" t="s">
        <v>318</v>
      </c>
      <c r="F150">
        <f>D150*D151</f>
        <v>67.19999999999999</v>
      </c>
      <c r="G150" s="138" t="s">
        <v>221</v>
      </c>
      <c r="M150">
        <f>K151+K152+K153</f>
        <v>9.719999999999999</v>
      </c>
      <c r="O150" s="14" t="s">
        <v>206</v>
      </c>
      <c r="P150" s="14">
        <f>F150-M150</f>
        <v>57.47999999999999</v>
      </c>
      <c r="Q150" s="14" t="s">
        <v>205</v>
      </c>
    </row>
    <row r="151" spans="2:12" ht="12.75">
      <c r="B151" s="138"/>
      <c r="C151" s="138" t="s">
        <v>317</v>
      </c>
      <c r="D151" s="150">
        <v>1.5</v>
      </c>
      <c r="E151" s="150"/>
      <c r="G151" s="138" t="s">
        <v>223</v>
      </c>
      <c r="H151">
        <v>2</v>
      </c>
      <c r="I151">
        <v>0.6</v>
      </c>
      <c r="J151">
        <v>6</v>
      </c>
      <c r="K151">
        <f>H151*I151*J151</f>
        <v>7.199999999999999</v>
      </c>
      <c r="L151" s="138" t="s">
        <v>205</v>
      </c>
    </row>
    <row r="152" spans="2:12" ht="12.75">
      <c r="B152" s="138"/>
      <c r="D152" s="150"/>
      <c r="E152" s="150"/>
      <c r="G152" s="138" t="s">
        <v>222</v>
      </c>
      <c r="H152">
        <v>0.8</v>
      </c>
      <c r="I152">
        <v>0.6</v>
      </c>
      <c r="K152">
        <f>H152*I152*J152</f>
        <v>0</v>
      </c>
      <c r="L152" s="138" t="s">
        <v>205</v>
      </c>
    </row>
    <row r="153" spans="2:12" ht="12.75">
      <c r="B153" s="138"/>
      <c r="D153" s="150"/>
      <c r="E153" s="150"/>
      <c r="G153" s="138" t="s">
        <v>222</v>
      </c>
      <c r="H153">
        <v>1.4</v>
      </c>
      <c r="I153">
        <v>0.6</v>
      </c>
      <c r="J153">
        <v>3</v>
      </c>
      <c r="K153">
        <f>H153*I153*J153</f>
        <v>2.52</v>
      </c>
      <c r="L153" s="138" t="s">
        <v>205</v>
      </c>
    </row>
    <row r="154" spans="2:12" ht="12.75">
      <c r="B154" s="138"/>
      <c r="D154" s="150"/>
      <c r="E154" s="150"/>
      <c r="G154" s="138"/>
      <c r="L154" s="138"/>
    </row>
    <row r="155" spans="2:5" ht="12.75">
      <c r="B155" s="138"/>
      <c r="C155" s="150"/>
      <c r="D155" s="150"/>
      <c r="E155" s="150"/>
    </row>
    <row r="156" spans="2:12" ht="12.75">
      <c r="B156" s="138" t="s">
        <v>103</v>
      </c>
      <c r="C156" t="s">
        <v>208</v>
      </c>
      <c r="D156" s="150"/>
      <c r="E156" s="150"/>
      <c r="J156" s="35" t="s">
        <v>206</v>
      </c>
      <c r="K156" s="34">
        <f>P158</f>
        <v>305.61</v>
      </c>
      <c r="L156" s="35" t="s">
        <v>205</v>
      </c>
    </row>
    <row r="157" spans="2:5" ht="12.75">
      <c r="B157" s="138"/>
      <c r="D157" s="150"/>
      <c r="E157" s="150"/>
    </row>
    <row r="158" spans="2:17" ht="12.75">
      <c r="B158" s="138"/>
      <c r="C158" s="138" t="s">
        <v>316</v>
      </c>
      <c r="D158" s="150">
        <v>79.1</v>
      </c>
      <c r="E158" s="150" t="s">
        <v>318</v>
      </c>
      <c r="F158">
        <f>D158*D159</f>
        <v>355.95</v>
      </c>
      <c r="G158" s="138" t="s">
        <v>221</v>
      </c>
      <c r="M158">
        <f>SUM(K159:K162)</f>
        <v>50.339999999999996</v>
      </c>
      <c r="O158" s="14" t="s">
        <v>206</v>
      </c>
      <c r="P158" s="14">
        <f>F158-M158</f>
        <v>305.61</v>
      </c>
      <c r="Q158" s="14" t="s">
        <v>205</v>
      </c>
    </row>
    <row r="159" spans="2:12" ht="12.75">
      <c r="B159" s="138"/>
      <c r="C159" s="138" t="s">
        <v>295</v>
      </c>
      <c r="D159" s="150">
        <v>4.5</v>
      </c>
      <c r="E159" s="150"/>
      <c r="G159" s="138" t="s">
        <v>223</v>
      </c>
      <c r="H159">
        <v>2</v>
      </c>
      <c r="I159">
        <v>1.2</v>
      </c>
      <c r="J159">
        <v>16</v>
      </c>
      <c r="K159">
        <f>H159*I159*J159</f>
        <v>38.4</v>
      </c>
      <c r="L159" s="138" t="s">
        <v>205</v>
      </c>
    </row>
    <row r="160" spans="2:12" ht="12.75">
      <c r="B160" s="138"/>
      <c r="D160" s="150"/>
      <c r="E160" s="150"/>
      <c r="G160" s="138" t="s">
        <v>223</v>
      </c>
      <c r="H160">
        <v>1.2</v>
      </c>
      <c r="I160">
        <v>0.6</v>
      </c>
      <c r="J160">
        <v>2</v>
      </c>
      <c r="K160">
        <f>H160*I160*J160</f>
        <v>1.44</v>
      </c>
      <c r="L160" s="138" t="s">
        <v>205</v>
      </c>
    </row>
    <row r="161" spans="2:12" ht="12.75">
      <c r="B161" s="138"/>
      <c r="D161" s="150"/>
      <c r="E161" s="150"/>
      <c r="G161" s="138" t="s">
        <v>222</v>
      </c>
      <c r="H161">
        <v>1.4</v>
      </c>
      <c r="I161">
        <v>2.1</v>
      </c>
      <c r="J161">
        <v>3</v>
      </c>
      <c r="K161">
        <f>H161*I161*J161</f>
        <v>8.82</v>
      </c>
      <c r="L161" s="138" t="s">
        <v>205</v>
      </c>
    </row>
    <row r="162" spans="2:12" ht="12.75">
      <c r="B162" s="138"/>
      <c r="D162" s="150"/>
      <c r="E162" s="150"/>
      <c r="G162" s="138" t="s">
        <v>222</v>
      </c>
      <c r="H162">
        <v>0.8</v>
      </c>
      <c r="I162">
        <v>2.1</v>
      </c>
      <c r="J162">
        <v>1</v>
      </c>
      <c r="K162">
        <f>H162*I162*J162</f>
        <v>1.6800000000000002</v>
      </c>
      <c r="L162" s="138" t="s">
        <v>205</v>
      </c>
    </row>
    <row r="163" spans="2:5" ht="12.75">
      <c r="B163" s="138"/>
      <c r="D163" s="150"/>
      <c r="E163" s="150"/>
    </row>
    <row r="164" spans="2:5" ht="12.75">
      <c r="B164" s="138" t="s">
        <v>312</v>
      </c>
      <c r="C164" s="138" t="s">
        <v>211</v>
      </c>
      <c r="D164" s="150"/>
      <c r="E164" s="150"/>
    </row>
    <row r="165" spans="2:5" ht="12.75">
      <c r="B165" s="138"/>
      <c r="C165" s="150"/>
      <c r="D165" s="150"/>
      <c r="E165" s="150"/>
    </row>
    <row r="166" spans="2:14" ht="12.75">
      <c r="B166" s="138"/>
      <c r="C166" s="138" t="s">
        <v>223</v>
      </c>
      <c r="D166">
        <v>2</v>
      </c>
      <c r="E166">
        <v>1.2</v>
      </c>
      <c r="F166">
        <v>16</v>
      </c>
      <c r="G166">
        <f>D166*E166*F166</f>
        <v>38.4</v>
      </c>
      <c r="H166" s="138" t="s">
        <v>205</v>
      </c>
      <c r="I166">
        <f>SUM(G166:G168)</f>
        <v>39.839999999999996</v>
      </c>
      <c r="J166" s="138" t="s">
        <v>205</v>
      </c>
      <c r="K166">
        <v>2</v>
      </c>
      <c r="L166" s="138" t="s">
        <v>326</v>
      </c>
      <c r="M166" s="34">
        <f>K166*I166</f>
        <v>79.67999999999999</v>
      </c>
      <c r="N166" s="35" t="s">
        <v>205</v>
      </c>
    </row>
    <row r="167" spans="2:8" ht="12.75">
      <c r="B167" s="138"/>
      <c r="C167" s="138" t="s">
        <v>223</v>
      </c>
      <c r="D167">
        <v>1.2</v>
      </c>
      <c r="E167">
        <v>0.6</v>
      </c>
      <c r="F167">
        <v>2</v>
      </c>
      <c r="G167">
        <f>D167*E167*F167</f>
        <v>1.44</v>
      </c>
      <c r="H167" s="138" t="s">
        <v>205</v>
      </c>
    </row>
    <row r="168" spans="2:8" ht="12.75">
      <c r="B168" s="138"/>
      <c r="C168" s="138"/>
      <c r="H168" s="138"/>
    </row>
    <row r="169" spans="2:5" ht="12.75">
      <c r="B169" s="138" t="s">
        <v>314</v>
      </c>
      <c r="C169" s="138" t="s">
        <v>325</v>
      </c>
      <c r="D169" s="150"/>
      <c r="E169" s="150"/>
    </row>
    <row r="170" spans="2:5" ht="12.75">
      <c r="B170" s="138"/>
      <c r="C170" s="150"/>
      <c r="D170" s="150"/>
      <c r="E170" s="150"/>
    </row>
    <row r="171" spans="2:14" ht="12.75">
      <c r="B171" s="138"/>
      <c r="C171" s="138" t="s">
        <v>222</v>
      </c>
      <c r="D171">
        <v>1.4</v>
      </c>
      <c r="E171">
        <v>2.1</v>
      </c>
      <c r="F171">
        <v>5</v>
      </c>
      <c r="G171">
        <f>D171*E171*F171</f>
        <v>14.7</v>
      </c>
      <c r="H171" s="138" t="s">
        <v>205</v>
      </c>
      <c r="I171">
        <f>G171+G172</f>
        <v>29.82</v>
      </c>
      <c r="J171" s="138" t="s">
        <v>205</v>
      </c>
      <c r="K171">
        <v>2</v>
      </c>
      <c r="L171" s="138" t="s">
        <v>326</v>
      </c>
      <c r="M171" s="34">
        <f>K171*I171</f>
        <v>59.64</v>
      </c>
      <c r="N171" s="35" t="s">
        <v>205</v>
      </c>
    </row>
    <row r="172" spans="2:8" ht="12.75">
      <c r="B172" s="138"/>
      <c r="C172" s="138" t="s">
        <v>222</v>
      </c>
      <c r="D172">
        <v>0.8</v>
      </c>
      <c r="E172">
        <v>2.1</v>
      </c>
      <c r="F172">
        <v>9</v>
      </c>
      <c r="G172">
        <f>D172*E172*F172</f>
        <v>15.120000000000001</v>
      </c>
      <c r="H172" s="138" t="s">
        <v>205</v>
      </c>
    </row>
    <row r="173" spans="2:5" ht="12.75">
      <c r="B173" s="138"/>
      <c r="C173" s="150"/>
      <c r="D173" s="150"/>
      <c r="E173" s="150"/>
    </row>
    <row r="174" spans="2:5" ht="12.75">
      <c r="B174" s="138"/>
      <c r="C174" s="150"/>
      <c r="D174" s="150"/>
      <c r="E174" s="150"/>
    </row>
    <row r="175" spans="2:5" ht="12.75">
      <c r="B175" s="138"/>
      <c r="C175" s="150"/>
      <c r="D175" s="150"/>
      <c r="E175" s="150"/>
    </row>
    <row r="176" spans="2:5" ht="12.75">
      <c r="B176" s="138"/>
      <c r="C176" s="150"/>
      <c r="D176" s="150"/>
      <c r="E176" s="150"/>
    </row>
    <row r="177" spans="2:5" ht="12.75">
      <c r="B177" s="138"/>
      <c r="C177" s="150"/>
      <c r="D177" s="150"/>
      <c r="E177" s="150"/>
    </row>
    <row r="178" spans="2:5" ht="12.75">
      <c r="B178" s="138"/>
      <c r="C178" s="150"/>
      <c r="D178" s="150"/>
      <c r="E178" s="150"/>
    </row>
    <row r="179" spans="2:5" ht="12.75">
      <c r="B179" s="138"/>
      <c r="C179" s="150"/>
      <c r="D179" s="150"/>
      <c r="E179" s="150"/>
    </row>
    <row r="180" spans="2:5" ht="12.75">
      <c r="B180" s="138"/>
      <c r="C180" s="150"/>
      <c r="D180" s="150"/>
      <c r="E180" s="150"/>
    </row>
    <row r="181" spans="2:5" ht="12.75">
      <c r="B181" s="138"/>
      <c r="C181" s="150"/>
      <c r="D181" s="150"/>
      <c r="E181" s="150"/>
    </row>
    <row r="182" spans="2:3" ht="12.75">
      <c r="B182" s="138"/>
      <c r="C182" s="138"/>
    </row>
    <row r="183" spans="2:3" ht="12.75">
      <c r="B183" s="138"/>
      <c r="C183" s="138"/>
    </row>
    <row r="184" spans="3:4" ht="12.75">
      <c r="C184" s="138"/>
      <c r="D184" s="138"/>
    </row>
    <row r="185" spans="3:4" ht="12.75">
      <c r="C185" s="138"/>
      <c r="D185" s="138"/>
    </row>
    <row r="186" spans="3:4" ht="12.75">
      <c r="C186" s="29"/>
      <c r="D186" s="29"/>
    </row>
  </sheetData>
  <mergeCells count="1">
    <mergeCell ref="C64:M64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de Oliveira Azevedo</dc:creator>
  <cp:keywords/>
  <dc:description/>
  <cp:lastModifiedBy>Camila Rodrigues de Moraes Claudio</cp:lastModifiedBy>
  <cp:lastPrinted>2022-06-02T18:48:44Z</cp:lastPrinted>
  <dcterms:created xsi:type="dcterms:W3CDTF">2020-07-14T12:58:57Z</dcterms:created>
  <dcterms:modified xsi:type="dcterms:W3CDTF">2022-06-02T19:51:18Z</dcterms:modified>
  <cp:category/>
  <cp:version/>
  <cp:contentType/>
  <cp:contentStatus/>
</cp:coreProperties>
</file>